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75" windowHeight="15360"/>
  </bookViews>
  <sheets>
    <sheet name="2016 Budget Draft" sheetId="7" r:id="rId1"/>
    <sheet name="Comparisons 2012-2016" sheetId="1" r:id="rId2"/>
    <sheet name="Apportioned by Appt" sheetId="2" r:id="rId3"/>
    <sheet name="Graphs" sheetId="3" r:id="rId4"/>
    <sheet name="plot x App" sheetId="4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F5" i="4"/>
  <c r="E5" i="4"/>
  <c r="D5" i="4"/>
  <c r="I37" i="1"/>
  <c r="I18" i="1"/>
  <c r="I39" i="1"/>
  <c r="D4" i="3"/>
  <c r="D5" i="3"/>
  <c r="H37" i="1"/>
  <c r="H30" i="1"/>
  <c r="H18" i="1"/>
  <c r="H39" i="1"/>
  <c r="E4" i="3"/>
  <c r="E5" i="3"/>
  <c r="G37" i="1"/>
  <c r="G30" i="1"/>
  <c r="G18" i="1"/>
  <c r="G39" i="1"/>
  <c r="F4" i="3"/>
  <c r="F5" i="3"/>
  <c r="G5" i="3"/>
  <c r="C5" i="3"/>
  <c r="E11" i="4"/>
  <c r="H11" i="4"/>
  <c r="E15" i="4"/>
  <c r="H15" i="4"/>
  <c r="E10" i="4"/>
  <c r="H10" i="4"/>
  <c r="A23" i="4"/>
  <c r="D23" i="4"/>
  <c r="A12" i="4"/>
  <c r="D12" i="4"/>
  <c r="A16" i="4"/>
  <c r="D16" i="4"/>
  <c r="A20" i="4"/>
  <c r="D20" i="4"/>
  <c r="I11" i="4"/>
  <c r="L11" i="4"/>
  <c r="I12" i="4"/>
  <c r="L12" i="4"/>
  <c r="I13" i="4"/>
  <c r="L13" i="4"/>
  <c r="I10" i="4"/>
  <c r="E12" i="4"/>
  <c r="H12" i="4"/>
  <c r="E13" i="4"/>
  <c r="H13" i="4"/>
  <c r="E14" i="4"/>
  <c r="H14" i="4"/>
  <c r="E16" i="4"/>
  <c r="H16" i="4"/>
  <c r="E17" i="4"/>
  <c r="H17" i="4"/>
  <c r="E18" i="4"/>
  <c r="H18" i="4"/>
  <c r="B3" i="7"/>
  <c r="A9" i="4"/>
  <c r="A11" i="4"/>
  <c r="D11" i="4"/>
  <c r="A13" i="4"/>
  <c r="D13" i="4"/>
  <c r="A14" i="4"/>
  <c r="D14" i="4"/>
  <c r="A15" i="4"/>
  <c r="D15" i="4"/>
  <c r="A17" i="4"/>
  <c r="D17" i="4"/>
  <c r="A18" i="4"/>
  <c r="D18" i="4"/>
  <c r="A19" i="4"/>
  <c r="D19" i="4"/>
  <c r="A21" i="4"/>
  <c r="D21" i="4"/>
  <c r="A22" i="4"/>
  <c r="D22" i="4"/>
  <c r="A10" i="4"/>
  <c r="D10" i="4"/>
  <c r="D37" i="7"/>
  <c r="D30" i="7"/>
  <c r="D18" i="7"/>
  <c r="D39" i="7"/>
  <c r="H4" i="3"/>
  <c r="H5" i="3"/>
  <c r="C72" i="7"/>
  <c r="D73" i="7"/>
  <c r="C64" i="7"/>
  <c r="D65" i="7"/>
  <c r="C50" i="7"/>
  <c r="D51" i="7"/>
  <c r="C34" i="1"/>
  <c r="C35" i="1"/>
  <c r="C36" i="1"/>
  <c r="C33" i="1"/>
  <c r="C22" i="1"/>
  <c r="C23" i="1"/>
  <c r="C24" i="1"/>
  <c r="C25" i="1"/>
  <c r="C26" i="1"/>
  <c r="C27" i="1"/>
  <c r="C28" i="1"/>
  <c r="C29" i="1"/>
  <c r="C2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I24" i="4"/>
  <c r="E24" i="4"/>
  <c r="L10" i="4"/>
  <c r="L26" i="4"/>
  <c r="D9" i="4"/>
  <c r="A24" i="4"/>
  <c r="N24" i="4"/>
  <c r="D75" i="7"/>
  <c r="H26" i="4"/>
  <c r="B17" i="7"/>
  <c r="C16" i="7"/>
  <c r="C17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21" i="7"/>
  <c r="B22" i="7"/>
  <c r="B23" i="7"/>
  <c r="B24" i="7"/>
  <c r="B25" i="7"/>
  <c r="B26" i="7"/>
  <c r="B27" i="7"/>
  <c r="B28" i="7"/>
  <c r="B29" i="7"/>
  <c r="F30" i="7"/>
  <c r="B33" i="7"/>
  <c r="B34" i="7"/>
  <c r="B35" i="7"/>
  <c r="B36" i="7"/>
  <c r="F37" i="7"/>
  <c r="F18" i="7"/>
  <c r="F39" i="7"/>
  <c r="E37" i="7"/>
  <c r="E30" i="7"/>
  <c r="E18" i="7"/>
  <c r="E39" i="7"/>
  <c r="C35" i="7"/>
  <c r="C34" i="7"/>
  <c r="C33" i="7"/>
  <c r="C28" i="7"/>
  <c r="C27" i="7"/>
  <c r="C26" i="7"/>
  <c r="C25" i="7"/>
  <c r="C23" i="7"/>
  <c r="C22" i="7"/>
  <c r="C21" i="7"/>
  <c r="C15" i="7"/>
  <c r="C14" i="7"/>
  <c r="C13" i="7"/>
  <c r="C11" i="7"/>
  <c r="C10" i="7"/>
  <c r="C9" i="7"/>
  <c r="C8" i="7"/>
  <c r="C7" i="7"/>
  <c r="C6" i="7"/>
  <c r="C5" i="7"/>
  <c r="C4" i="7"/>
  <c r="B4" i="1"/>
  <c r="B5" i="1"/>
  <c r="B6" i="1"/>
  <c r="B7" i="1"/>
  <c r="B8" i="1"/>
  <c r="B9" i="1"/>
  <c r="B10" i="1"/>
  <c r="B11" i="1"/>
  <c r="B13" i="1"/>
  <c r="B14" i="1"/>
  <c r="B15" i="1"/>
  <c r="B16" i="1"/>
  <c r="C18" i="1"/>
  <c r="F18" i="1"/>
  <c r="K26" i="2"/>
  <c r="B21" i="1"/>
  <c r="B22" i="1"/>
  <c r="B23" i="1"/>
  <c r="B25" i="1"/>
  <c r="B26" i="1"/>
  <c r="B27" i="1"/>
  <c r="B28" i="1"/>
  <c r="C30" i="1"/>
  <c r="F30" i="1"/>
  <c r="L24" i="2"/>
  <c r="B33" i="1"/>
  <c r="B34" i="1"/>
  <c r="B35" i="1"/>
  <c r="C37" i="1"/>
  <c r="F37" i="1"/>
  <c r="B37" i="1"/>
  <c r="M54" i="2"/>
  <c r="N54" i="2"/>
  <c r="D18" i="1"/>
  <c r="D37" i="1"/>
  <c r="D30" i="1"/>
  <c r="Y54" i="2"/>
  <c r="M5" i="2"/>
  <c r="M6" i="2"/>
  <c r="M7" i="2"/>
  <c r="L8" i="2"/>
  <c r="M8" i="2"/>
  <c r="M9" i="2"/>
  <c r="M10" i="2"/>
  <c r="M11" i="2"/>
  <c r="M12" i="2"/>
  <c r="M13" i="2"/>
  <c r="M14" i="2"/>
  <c r="M15" i="2"/>
  <c r="L16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L32" i="2"/>
  <c r="M32" i="2"/>
  <c r="M33" i="2"/>
  <c r="M4" i="2"/>
  <c r="E37" i="1"/>
  <c r="E34" i="1"/>
  <c r="E35" i="1"/>
  <c r="E33" i="1"/>
  <c r="E30" i="1"/>
  <c r="E28" i="1"/>
  <c r="E22" i="1"/>
  <c r="E24" i="1"/>
  <c r="E25" i="1"/>
  <c r="E26" i="1"/>
  <c r="E27" i="1"/>
  <c r="E21" i="1"/>
  <c r="E5" i="1"/>
  <c r="E6" i="1"/>
  <c r="E7" i="1"/>
  <c r="E8" i="1"/>
  <c r="E9" i="1"/>
  <c r="E10" i="1"/>
  <c r="E11" i="1"/>
  <c r="E13" i="1"/>
  <c r="E14" i="1"/>
  <c r="E15" i="1"/>
  <c r="E16" i="1"/>
  <c r="E4" i="1"/>
  <c r="K30" i="2"/>
  <c r="K51" i="2"/>
  <c r="N51" i="2"/>
  <c r="K15" i="2"/>
  <c r="K38" i="2"/>
  <c r="N38" i="2"/>
  <c r="K8" i="2"/>
  <c r="K39" i="2"/>
  <c r="N39" i="2"/>
  <c r="K17" i="2"/>
  <c r="S48" i="2"/>
  <c r="V48" i="2"/>
  <c r="AA48" i="2"/>
  <c r="Y9" i="2"/>
  <c r="X5" i="2"/>
  <c r="Y5" i="2"/>
  <c r="X6" i="2"/>
  <c r="Y6" i="2"/>
  <c r="X7" i="2"/>
  <c r="Y7" i="2"/>
  <c r="X8" i="2"/>
  <c r="Y8" i="2"/>
  <c r="X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Y4" i="2"/>
  <c r="X4" i="2"/>
  <c r="U7" i="2"/>
  <c r="T25" i="2"/>
  <c r="U8" i="2"/>
  <c r="U15" i="2"/>
  <c r="U21" i="2"/>
  <c r="U27" i="2"/>
  <c r="T29" i="2"/>
  <c r="U33" i="2"/>
  <c r="Q11" i="2"/>
  <c r="Q27" i="2"/>
  <c r="F55" i="2"/>
  <c r="E55" i="2"/>
  <c r="D55" i="2"/>
  <c r="Q6" i="2"/>
  <c r="P5" i="2"/>
  <c r="O35" i="2"/>
  <c r="R35" i="2"/>
  <c r="P22" i="2"/>
  <c r="Q31" i="2"/>
  <c r="P26" i="2"/>
  <c r="O21" i="2"/>
  <c r="P10" i="2"/>
  <c r="O38" i="2"/>
  <c r="R38" i="2"/>
  <c r="P30" i="2"/>
  <c r="Q19" i="2"/>
  <c r="P14" i="2"/>
  <c r="O9" i="2"/>
  <c r="O34" i="2"/>
  <c r="R34" i="2"/>
  <c r="U26" i="2"/>
  <c r="U11" i="2"/>
  <c r="P4" i="2"/>
  <c r="P18" i="2"/>
  <c r="O13" i="2"/>
  <c r="Q7" i="2"/>
  <c r="O17" i="2"/>
  <c r="P6" i="2"/>
  <c r="O42" i="2"/>
  <c r="R42" i="2"/>
  <c r="O5" i="2"/>
  <c r="Q4" i="2"/>
  <c r="Q32" i="2"/>
  <c r="P31" i="2"/>
  <c r="O30" i="2"/>
  <c r="Q28" i="2"/>
  <c r="P27" i="2"/>
  <c r="Q24" i="2"/>
  <c r="P23" i="2"/>
  <c r="O22" i="2"/>
  <c r="P19" i="2"/>
  <c r="O18" i="2"/>
  <c r="Q16" i="2"/>
  <c r="P15" i="2"/>
  <c r="O14" i="2"/>
  <c r="Q12" i="2"/>
  <c r="P11" i="2"/>
  <c r="Q8" i="2"/>
  <c r="P7" i="2"/>
  <c r="O6" i="2"/>
  <c r="O49" i="2"/>
  <c r="R49" i="2"/>
  <c r="O45" i="2"/>
  <c r="R45" i="2"/>
  <c r="O41" i="2"/>
  <c r="R41" i="2"/>
  <c r="Q54" i="2"/>
  <c r="R54" i="2"/>
  <c r="Q33" i="2"/>
  <c r="P32" i="2"/>
  <c r="Q29" i="2"/>
  <c r="P28" i="2"/>
  <c r="O27" i="2"/>
  <c r="P24" i="2"/>
  <c r="O23" i="2"/>
  <c r="Q21" i="2"/>
  <c r="P20" i="2"/>
  <c r="O19" i="2"/>
  <c r="Q17" i="2"/>
  <c r="P16" i="2"/>
  <c r="Q13" i="2"/>
  <c r="P12" i="2"/>
  <c r="O11" i="2"/>
  <c r="R11" i="2"/>
  <c r="P8" i="2"/>
  <c r="O7" i="2"/>
  <c r="Q5" i="2"/>
  <c r="O48" i="2"/>
  <c r="R48" i="2"/>
  <c r="O44" i="2"/>
  <c r="R44" i="2"/>
  <c r="O40" i="2"/>
  <c r="R40" i="2"/>
  <c r="O4" i="2"/>
  <c r="P33" i="2"/>
  <c r="O32" i="2"/>
  <c r="R32" i="2"/>
  <c r="P29" i="2"/>
  <c r="O28" i="2"/>
  <c r="Q26" i="2"/>
  <c r="P25" i="2"/>
  <c r="O24" i="2"/>
  <c r="Q22" i="2"/>
  <c r="R22" i="2"/>
  <c r="P21" i="2"/>
  <c r="Q18" i="2"/>
  <c r="P17" i="2"/>
  <c r="O16" i="2"/>
  <c r="P13" i="2"/>
  <c r="O12" i="2"/>
  <c r="R12" i="2"/>
  <c r="Q10" i="2"/>
  <c r="P9" i="2"/>
  <c r="O8" i="2"/>
  <c r="O51" i="2"/>
  <c r="R51" i="2"/>
  <c r="O47" i="2"/>
  <c r="R47" i="2"/>
  <c r="O39" i="2"/>
  <c r="R39" i="2"/>
  <c r="U14" i="2"/>
  <c r="U10" i="2"/>
  <c r="U6" i="2"/>
  <c r="T24" i="2"/>
  <c r="T20" i="2"/>
  <c r="T16" i="2"/>
  <c r="T8" i="2"/>
  <c r="R28" i="2"/>
  <c r="S36" i="2"/>
  <c r="V36" i="2"/>
  <c r="S52" i="2"/>
  <c r="V52" i="2"/>
  <c r="S34" i="2"/>
  <c r="V34" i="2"/>
  <c r="AA34" i="2"/>
  <c r="S41" i="2"/>
  <c r="V41" i="2"/>
  <c r="AA41" i="2"/>
  <c r="S38" i="2"/>
  <c r="V38" i="2"/>
  <c r="S46" i="2"/>
  <c r="V46" i="2"/>
  <c r="AA46" i="2"/>
  <c r="S35" i="2"/>
  <c r="V35" i="2"/>
  <c r="AA35" i="2"/>
  <c r="S51" i="2"/>
  <c r="V51" i="2"/>
  <c r="S32" i="2"/>
  <c r="S6" i="2"/>
  <c r="S14" i="2"/>
  <c r="S16" i="2"/>
  <c r="S22" i="2"/>
  <c r="S26" i="2"/>
  <c r="S30" i="2"/>
  <c r="S9" i="2"/>
  <c r="S17" i="2"/>
  <c r="S21" i="2"/>
  <c r="S33" i="2"/>
  <c r="D26" i="4"/>
  <c r="N26" i="4"/>
  <c r="R13" i="2"/>
  <c r="K52" i="2"/>
  <c r="N52" i="2"/>
  <c r="K29" i="2"/>
  <c r="K45" i="2"/>
  <c r="N45" i="2"/>
  <c r="K24" i="2"/>
  <c r="K46" i="2"/>
  <c r="N46" i="2"/>
  <c r="K31" i="2"/>
  <c r="K34" i="2"/>
  <c r="N34" i="2"/>
  <c r="R27" i="2"/>
  <c r="K5" i="2"/>
  <c r="K49" i="2"/>
  <c r="N49" i="2"/>
  <c r="K28" i="2"/>
  <c r="K11" i="2"/>
  <c r="K43" i="2"/>
  <c r="N43" i="2"/>
  <c r="K10" i="2"/>
  <c r="L10" i="2"/>
  <c r="N10" i="2"/>
  <c r="K48" i="2"/>
  <c r="N48" i="2"/>
  <c r="K21" i="2"/>
  <c r="K47" i="2"/>
  <c r="N47" i="2"/>
  <c r="K16" i="2"/>
  <c r="N16" i="2"/>
  <c r="K42" i="2"/>
  <c r="N42" i="2"/>
  <c r="K23" i="2"/>
  <c r="K18" i="2"/>
  <c r="K36" i="2"/>
  <c r="N36" i="2"/>
  <c r="U20" i="2"/>
  <c r="U30" i="2"/>
  <c r="U29" i="2"/>
  <c r="U23" i="2"/>
  <c r="U18" i="2"/>
  <c r="U12" i="2"/>
  <c r="K40" i="2"/>
  <c r="N40" i="2"/>
  <c r="K13" i="2"/>
  <c r="K33" i="2"/>
  <c r="K41" i="2"/>
  <c r="N41" i="2"/>
  <c r="K12" i="2"/>
  <c r="K32" i="2"/>
  <c r="N32" i="2"/>
  <c r="K7" i="2"/>
  <c r="K27" i="2"/>
  <c r="K6" i="2"/>
  <c r="L6" i="2"/>
  <c r="N6" i="2"/>
  <c r="K14" i="2"/>
  <c r="U5" i="2"/>
  <c r="U24" i="2"/>
  <c r="U32" i="2"/>
  <c r="U4" i="2"/>
  <c r="U9" i="2"/>
  <c r="U13" i="2"/>
  <c r="U16" i="2"/>
  <c r="U17" i="2"/>
  <c r="U19" i="2"/>
  <c r="U22" i="2"/>
  <c r="U25" i="2"/>
  <c r="U28" i="2"/>
  <c r="U31" i="2"/>
  <c r="U54" i="2"/>
  <c r="U55" i="2"/>
  <c r="V54" i="2"/>
  <c r="AA54" i="2"/>
  <c r="F39" i="1"/>
  <c r="R21" i="2"/>
  <c r="V16" i="2"/>
  <c r="AA16" i="2"/>
  <c r="R19" i="2"/>
  <c r="S4" i="2"/>
  <c r="S11" i="2"/>
  <c r="S24" i="2"/>
  <c r="S8" i="2"/>
  <c r="S47" i="2"/>
  <c r="V47" i="2"/>
  <c r="AA47" i="2"/>
  <c r="S45" i="2"/>
  <c r="V45" i="2"/>
  <c r="AA45" i="2"/>
  <c r="S40" i="2"/>
  <c r="V40" i="2"/>
  <c r="AA40" i="2"/>
  <c r="T12" i="2"/>
  <c r="O43" i="2"/>
  <c r="R43" i="2"/>
  <c r="Q14" i="2"/>
  <c r="R14" i="2"/>
  <c r="O20" i="2"/>
  <c r="Q30" i="2"/>
  <c r="R30" i="2"/>
  <c r="O36" i="2"/>
  <c r="R36" i="2"/>
  <c r="O52" i="2"/>
  <c r="R52" i="2"/>
  <c r="Q9" i="2"/>
  <c r="R9" i="2"/>
  <c r="O15" i="2"/>
  <c r="Q25" i="2"/>
  <c r="O31" i="2"/>
  <c r="O37" i="2"/>
  <c r="R37" i="2"/>
  <c r="O53" i="2"/>
  <c r="R53" i="2"/>
  <c r="O10" i="2"/>
  <c r="R10" i="2"/>
  <c r="Q20" i="2"/>
  <c r="Q15" i="2"/>
  <c r="Q23" i="2"/>
  <c r="Q55" i="2"/>
  <c r="O26" i="2"/>
  <c r="O33" i="2"/>
  <c r="R33" i="2"/>
  <c r="O46" i="2"/>
  <c r="R46" i="2"/>
  <c r="O29" i="2"/>
  <c r="R29" i="2"/>
  <c r="S29" i="2"/>
  <c r="V29" i="2"/>
  <c r="AA29" i="2"/>
  <c r="Z29" i="2"/>
  <c r="O50" i="2"/>
  <c r="R50" i="2"/>
  <c r="O25" i="2"/>
  <c r="R23" i="2"/>
  <c r="T26" i="2"/>
  <c r="K44" i="2"/>
  <c r="N44" i="2"/>
  <c r="K9" i="2"/>
  <c r="K25" i="2"/>
  <c r="E18" i="1"/>
  <c r="K37" i="2"/>
  <c r="N37" i="2"/>
  <c r="K53" i="2"/>
  <c r="N53" i="2"/>
  <c r="K20" i="2"/>
  <c r="K4" i="2"/>
  <c r="K50" i="2"/>
  <c r="N50" i="2"/>
  <c r="K19" i="2"/>
  <c r="K35" i="2"/>
  <c r="N35" i="2"/>
  <c r="K22" i="2"/>
  <c r="L30" i="2"/>
  <c r="L22" i="2"/>
  <c r="N22" i="2"/>
  <c r="L14" i="2"/>
  <c r="N14" i="2"/>
  <c r="E39" i="1"/>
  <c r="M55" i="2"/>
  <c r="L26" i="2"/>
  <c r="L18" i="2"/>
  <c r="D39" i="1"/>
  <c r="R24" i="2"/>
  <c r="L28" i="2"/>
  <c r="N28" i="2"/>
  <c r="L20" i="2"/>
  <c r="L12" i="2"/>
  <c r="N12" i="2"/>
  <c r="V26" i="2"/>
  <c r="AA26" i="2"/>
  <c r="T13" i="2"/>
  <c r="T17" i="2"/>
  <c r="T23" i="2"/>
  <c r="R17" i="2"/>
  <c r="S23" i="2"/>
  <c r="S13" i="2"/>
  <c r="S5" i="2"/>
  <c r="S27" i="2"/>
  <c r="S18" i="2"/>
  <c r="S10" i="2"/>
  <c r="S25" i="2"/>
  <c r="S19" i="2"/>
  <c r="S39" i="2"/>
  <c r="V39" i="2"/>
  <c r="AA39" i="2"/>
  <c r="AC39" i="2"/>
  <c r="S50" i="2"/>
  <c r="V50" i="2"/>
  <c r="AA50" i="2"/>
  <c r="AC50" i="2"/>
  <c r="S49" i="2"/>
  <c r="V49" i="2"/>
  <c r="AA49" i="2"/>
  <c r="AC49" i="2"/>
  <c r="S37" i="2"/>
  <c r="V37" i="2"/>
  <c r="AA37" i="2"/>
  <c r="AC37" i="2"/>
  <c r="S44" i="2"/>
  <c r="V44" i="2"/>
  <c r="AA44" i="2"/>
  <c r="AC44" i="2"/>
  <c r="T7" i="2"/>
  <c r="T11" i="2"/>
  <c r="T15" i="2"/>
  <c r="T19" i="2"/>
  <c r="T4" i="2"/>
  <c r="R7" i="2"/>
  <c r="R18" i="2"/>
  <c r="R6" i="2"/>
  <c r="T32" i="2"/>
  <c r="T27" i="2"/>
  <c r="T5" i="2"/>
  <c r="L4" i="2"/>
  <c r="T9" i="2"/>
  <c r="V9" i="2"/>
  <c r="T21" i="2"/>
  <c r="R5" i="2"/>
  <c r="R16" i="2"/>
  <c r="R20" i="2"/>
  <c r="S20" i="2"/>
  <c r="V20" i="2"/>
  <c r="AA20" i="2"/>
  <c r="AC20" i="2"/>
  <c r="R26" i="2"/>
  <c r="W26" i="2"/>
  <c r="R31" i="2"/>
  <c r="P55" i="2"/>
  <c r="T31" i="2"/>
  <c r="T28" i="2"/>
  <c r="V8" i="2"/>
  <c r="AA8" i="2"/>
  <c r="S15" i="2"/>
  <c r="V15" i="2"/>
  <c r="AA15" i="2"/>
  <c r="S7" i="2"/>
  <c r="S31" i="2"/>
  <c r="V31" i="2"/>
  <c r="AA31" i="2"/>
  <c r="S12" i="2"/>
  <c r="V12" i="2"/>
  <c r="W12" i="2"/>
  <c r="S28" i="2"/>
  <c r="S43" i="2"/>
  <c r="V43" i="2"/>
  <c r="S42" i="2"/>
  <c r="V42" i="2"/>
  <c r="AA42" i="2"/>
  <c r="AC42" i="2"/>
  <c r="S53" i="2"/>
  <c r="V53" i="2"/>
  <c r="AA53" i="2"/>
  <c r="AC53" i="2"/>
  <c r="T6" i="2"/>
  <c r="V6" i="2"/>
  <c r="T10" i="2"/>
  <c r="T14" i="2"/>
  <c r="T18" i="2"/>
  <c r="T22" i="2"/>
  <c r="V22" i="2"/>
  <c r="R8" i="2"/>
  <c r="O55" i="2"/>
  <c r="T33" i="2"/>
  <c r="V33" i="2"/>
  <c r="AA33" i="2"/>
  <c r="T30" i="2"/>
  <c r="N8" i="2"/>
  <c r="N24" i="2"/>
  <c r="L33" i="2"/>
  <c r="N33" i="2"/>
  <c r="L31" i="2"/>
  <c r="L29" i="2"/>
  <c r="N29" i="2"/>
  <c r="L27" i="2"/>
  <c r="N27" i="2"/>
  <c r="L25" i="2"/>
  <c r="N25" i="2"/>
  <c r="L23" i="2"/>
  <c r="L21" i="2"/>
  <c r="N21" i="2"/>
  <c r="L19" i="2"/>
  <c r="N19" i="2"/>
  <c r="L17" i="2"/>
  <c r="N17" i="2"/>
  <c r="L15" i="2"/>
  <c r="N15" i="2"/>
  <c r="L13" i="2"/>
  <c r="N13" i="2"/>
  <c r="L11" i="2"/>
  <c r="L9" i="2"/>
  <c r="N9" i="2"/>
  <c r="L7" i="2"/>
  <c r="N7" i="2"/>
  <c r="L5" i="2"/>
  <c r="B30" i="1"/>
  <c r="H6" i="2"/>
  <c r="H10" i="2"/>
  <c r="H14" i="2"/>
  <c r="H18" i="2"/>
  <c r="H22" i="2"/>
  <c r="H26" i="2"/>
  <c r="H30" i="2"/>
  <c r="H4" i="2"/>
  <c r="H11" i="2"/>
  <c r="H19" i="2"/>
  <c r="H31" i="2"/>
  <c r="H8" i="2"/>
  <c r="H20" i="2"/>
  <c r="H28" i="2"/>
  <c r="H23" i="2"/>
  <c r="H5" i="2"/>
  <c r="H9" i="2"/>
  <c r="H13" i="2"/>
  <c r="H17" i="2"/>
  <c r="H21" i="2"/>
  <c r="H25" i="2"/>
  <c r="H29" i="2"/>
  <c r="H33" i="2"/>
  <c r="H7" i="2"/>
  <c r="H15" i="2"/>
  <c r="H27" i="2"/>
  <c r="H12" i="2"/>
  <c r="H16" i="2"/>
  <c r="H24" i="2"/>
  <c r="H32" i="2"/>
  <c r="B18" i="1"/>
  <c r="G8" i="2"/>
  <c r="G12" i="2"/>
  <c r="G16" i="2"/>
  <c r="G20" i="2"/>
  <c r="G24" i="2"/>
  <c r="G28" i="2"/>
  <c r="G32" i="2"/>
  <c r="G36" i="2"/>
  <c r="J36" i="2"/>
  <c r="B36" i="2"/>
  <c r="G40" i="2"/>
  <c r="J40" i="2"/>
  <c r="B40" i="2"/>
  <c r="G44" i="2"/>
  <c r="J44" i="2"/>
  <c r="B44" i="2"/>
  <c r="G48" i="2"/>
  <c r="J48" i="2"/>
  <c r="B48" i="2"/>
  <c r="G52" i="2"/>
  <c r="J52" i="2"/>
  <c r="B52" i="2"/>
  <c r="G9" i="2"/>
  <c r="G21" i="2"/>
  <c r="G33" i="2"/>
  <c r="G41" i="2"/>
  <c r="J41" i="2"/>
  <c r="B41" i="2"/>
  <c r="G53" i="2"/>
  <c r="J53" i="2"/>
  <c r="B53" i="2"/>
  <c r="G6" i="2"/>
  <c r="G14" i="2"/>
  <c r="G13" i="2"/>
  <c r="G29" i="2"/>
  <c r="G45" i="2"/>
  <c r="J45" i="2"/>
  <c r="B45" i="2"/>
  <c r="G7" i="2"/>
  <c r="G11" i="2"/>
  <c r="G15" i="2"/>
  <c r="G19" i="2"/>
  <c r="G23" i="2"/>
  <c r="G27" i="2"/>
  <c r="G31" i="2"/>
  <c r="G35" i="2"/>
  <c r="J35" i="2"/>
  <c r="B35" i="2"/>
  <c r="G39" i="2"/>
  <c r="J39" i="2"/>
  <c r="B39" i="2"/>
  <c r="G43" i="2"/>
  <c r="J43" i="2"/>
  <c r="B43" i="2"/>
  <c r="G47" i="2"/>
  <c r="J47" i="2"/>
  <c r="B47" i="2"/>
  <c r="G51" i="2"/>
  <c r="J51" i="2"/>
  <c r="B51" i="2"/>
  <c r="G5" i="2"/>
  <c r="G17" i="2"/>
  <c r="G25" i="2"/>
  <c r="G37" i="2"/>
  <c r="J37" i="2"/>
  <c r="B37" i="2"/>
  <c r="G49" i="2"/>
  <c r="J49" i="2"/>
  <c r="G4" i="2"/>
  <c r="G10" i="2"/>
  <c r="G18" i="2"/>
  <c r="G34" i="2"/>
  <c r="J34" i="2"/>
  <c r="B34" i="2"/>
  <c r="G50" i="2"/>
  <c r="J50" i="2"/>
  <c r="G22" i="2"/>
  <c r="G38" i="2"/>
  <c r="J38" i="2"/>
  <c r="B38" i="2"/>
  <c r="G42" i="2"/>
  <c r="J42" i="2"/>
  <c r="B42" i="2"/>
  <c r="G30" i="2"/>
  <c r="G46" i="2"/>
  <c r="J46" i="2"/>
  <c r="B46" i="2"/>
  <c r="G26" i="2"/>
  <c r="C18" i="7"/>
  <c r="B30" i="7"/>
  <c r="I7" i="2"/>
  <c r="I11" i="2"/>
  <c r="I15" i="2"/>
  <c r="I19" i="2"/>
  <c r="I23" i="2"/>
  <c r="I27" i="2"/>
  <c r="I31" i="2"/>
  <c r="I8" i="2"/>
  <c r="I20" i="2"/>
  <c r="I24" i="2"/>
  <c r="I28" i="2"/>
  <c r="I5" i="2"/>
  <c r="I13" i="2"/>
  <c r="I21" i="2"/>
  <c r="I29" i="2"/>
  <c r="I12" i="2"/>
  <c r="I32" i="2"/>
  <c r="I54" i="2"/>
  <c r="J54" i="2"/>
  <c r="I6" i="2"/>
  <c r="I10" i="2"/>
  <c r="I14" i="2"/>
  <c r="I18" i="2"/>
  <c r="I22" i="2"/>
  <c r="I26" i="2"/>
  <c r="I30" i="2"/>
  <c r="I4" i="2"/>
  <c r="I16" i="2"/>
  <c r="I9" i="2"/>
  <c r="I17" i="2"/>
  <c r="I25" i="2"/>
  <c r="I33" i="2"/>
  <c r="B37" i="7"/>
  <c r="Z20" i="2"/>
  <c r="W31" i="2"/>
  <c r="W29" i="2"/>
  <c r="W8" i="2"/>
  <c r="V4" i="2"/>
  <c r="AA4" i="2"/>
  <c r="R4" i="2"/>
  <c r="V14" i="2"/>
  <c r="AC54" i="2"/>
  <c r="N30" i="2"/>
  <c r="V10" i="2"/>
  <c r="AA10" i="2"/>
  <c r="N11" i="2"/>
  <c r="V21" i="2"/>
  <c r="AA21" i="2"/>
  <c r="L55" i="2"/>
  <c r="AC26" i="2"/>
  <c r="Z26" i="2"/>
  <c r="Z31" i="2"/>
  <c r="AA52" i="2"/>
  <c r="Z52" i="2"/>
  <c r="AA36" i="2"/>
  <c r="Z36" i="2"/>
  <c r="N5" i="2"/>
  <c r="N26" i="2"/>
  <c r="N4" i="2"/>
  <c r="C39" i="1"/>
  <c r="B39" i="1"/>
  <c r="C37" i="7"/>
  <c r="B18" i="7"/>
  <c r="C30" i="7"/>
  <c r="B39" i="7"/>
  <c r="AC45" i="2"/>
  <c r="AA14" i="2"/>
  <c r="Z47" i="2"/>
  <c r="AC47" i="2"/>
  <c r="Z37" i="2"/>
  <c r="Z46" i="2"/>
  <c r="AC46" i="2"/>
  <c r="Z50" i="2"/>
  <c r="AC35" i="2"/>
  <c r="Z35" i="2"/>
  <c r="Z43" i="2"/>
  <c r="AA43" i="2"/>
  <c r="AC43" i="2"/>
  <c r="AA51" i="2"/>
  <c r="AC51" i="2"/>
  <c r="Z51" i="2"/>
  <c r="Z38" i="2"/>
  <c r="AA38" i="2"/>
  <c r="AC38" i="2"/>
  <c r="Z39" i="2"/>
  <c r="AC48" i="2"/>
  <c r="Z48" i="2"/>
  <c r="AC41" i="2"/>
  <c r="Z41" i="2"/>
  <c r="Z42" i="2"/>
  <c r="Z40" i="2"/>
  <c r="AC40" i="2"/>
  <c r="Z49" i="2"/>
  <c r="AC34" i="2"/>
  <c r="Z34" i="2"/>
  <c r="AC16" i="2"/>
  <c r="Z16" i="2"/>
  <c r="Z45" i="2"/>
  <c r="AC52" i="2"/>
  <c r="AA12" i="2"/>
  <c r="Z12" i="2"/>
  <c r="Z44" i="2"/>
  <c r="B49" i="2"/>
  <c r="N23" i="2"/>
  <c r="N31" i="2"/>
  <c r="V30" i="2"/>
  <c r="AA30" i="2"/>
  <c r="Z30" i="2"/>
  <c r="V32" i="2"/>
  <c r="AA32" i="2"/>
  <c r="V11" i="2"/>
  <c r="V25" i="2"/>
  <c r="N18" i="2"/>
  <c r="N20" i="2"/>
  <c r="N55" i="2"/>
  <c r="V24" i="2"/>
  <c r="V7" i="2"/>
  <c r="AA7" i="2"/>
  <c r="Z7" i="2"/>
  <c r="AC8" i="2"/>
  <c r="V23" i="2"/>
  <c r="AA23" i="2"/>
  <c r="AC23" i="2"/>
  <c r="V17" i="2"/>
  <c r="W17" i="2"/>
  <c r="AC29" i="2"/>
  <c r="W20" i="2"/>
  <c r="K55" i="2"/>
  <c r="R25" i="2"/>
  <c r="W25" i="2"/>
  <c r="V28" i="2"/>
  <c r="W28" i="2"/>
  <c r="AC7" i="2"/>
  <c r="W10" i="2"/>
  <c r="AA9" i="2"/>
  <c r="Z9" i="2"/>
  <c r="W9" i="2"/>
  <c r="AA25" i="2"/>
  <c r="AA17" i="2"/>
  <c r="Z17" i="2"/>
  <c r="W21" i="2"/>
  <c r="AC36" i="2"/>
  <c r="Z8" i="2"/>
  <c r="B50" i="2"/>
  <c r="W16" i="2"/>
  <c r="V13" i="2"/>
  <c r="W14" i="2"/>
  <c r="AC31" i="2"/>
  <c r="R15" i="2"/>
  <c r="W15" i="2"/>
  <c r="AC33" i="2"/>
  <c r="Z33" i="2"/>
  <c r="AA22" i="2"/>
  <c r="W22" i="2"/>
  <c r="W6" i="2"/>
  <c r="AA6" i="2"/>
  <c r="Z6" i="2"/>
  <c r="AA28" i="2"/>
  <c r="Z28" i="2"/>
  <c r="AA11" i="2"/>
  <c r="AC11" i="2"/>
  <c r="W11" i="2"/>
  <c r="Z25" i="2"/>
  <c r="W33" i="2"/>
  <c r="AC9" i="2"/>
  <c r="J30" i="2"/>
  <c r="B30" i="2"/>
  <c r="J17" i="2"/>
  <c r="B17" i="2"/>
  <c r="Z53" i="2"/>
  <c r="W7" i="2"/>
  <c r="J5" i="2"/>
  <c r="B5" i="2"/>
  <c r="J23" i="2"/>
  <c r="B23" i="2"/>
  <c r="J7" i="2"/>
  <c r="B7" i="2"/>
  <c r="J14" i="2"/>
  <c r="B14" i="2"/>
  <c r="J32" i="2"/>
  <c r="B32" i="2"/>
  <c r="V19" i="2"/>
  <c r="V27" i="2"/>
  <c r="J12" i="2"/>
  <c r="B12" i="2"/>
  <c r="T55" i="2"/>
  <c r="V5" i="2"/>
  <c r="S55" i="2"/>
  <c r="V18" i="2"/>
  <c r="J16" i="2"/>
  <c r="B16" i="2"/>
  <c r="I55" i="2"/>
  <c r="G55" i="2"/>
  <c r="J4" i="2"/>
  <c r="J27" i="2"/>
  <c r="B27" i="2"/>
  <c r="J11" i="2"/>
  <c r="B11" i="2"/>
  <c r="J13" i="2"/>
  <c r="B13" i="2"/>
  <c r="J20" i="2"/>
  <c r="B20" i="2"/>
  <c r="J33" i="2"/>
  <c r="B33" i="2"/>
  <c r="J26" i="2"/>
  <c r="B26" i="2"/>
  <c r="J18" i="2"/>
  <c r="B18" i="2"/>
  <c r="J19" i="2"/>
  <c r="B19" i="2"/>
  <c r="J6" i="2"/>
  <c r="B6" i="2"/>
  <c r="J21" i="2"/>
  <c r="B21" i="2"/>
  <c r="J28" i="2"/>
  <c r="B28" i="2"/>
  <c r="J22" i="2"/>
  <c r="B22" i="2"/>
  <c r="J10" i="2"/>
  <c r="B10" i="2"/>
  <c r="J25" i="2"/>
  <c r="B25" i="2"/>
  <c r="J31" i="2"/>
  <c r="B31" i="2"/>
  <c r="J15" i="2"/>
  <c r="B15" i="2"/>
  <c r="J29" i="2"/>
  <c r="B29" i="2"/>
  <c r="J9" i="2"/>
  <c r="B9" i="2"/>
  <c r="J24" i="2"/>
  <c r="B24" i="2"/>
  <c r="J8" i="2"/>
  <c r="B8" i="2"/>
  <c r="H55" i="2"/>
  <c r="AC4" i="2"/>
  <c r="W4" i="2"/>
  <c r="Z4" i="2"/>
  <c r="AC21" i="2"/>
  <c r="Z21" i="2"/>
  <c r="AC12" i="2"/>
  <c r="C39" i="7"/>
  <c r="AC10" i="2"/>
  <c r="Z10" i="2"/>
  <c r="AC14" i="2"/>
  <c r="Z14" i="2"/>
  <c r="AC17" i="2"/>
  <c r="Z32" i="2"/>
  <c r="AC32" i="2"/>
  <c r="Z23" i="2"/>
  <c r="W30" i="2"/>
  <c r="W23" i="2"/>
  <c r="W32" i="2"/>
  <c r="AC30" i="2"/>
  <c r="AA24" i="2"/>
  <c r="W24" i="2"/>
  <c r="AC6" i="2"/>
  <c r="AC25" i="2"/>
  <c r="Z11" i="2"/>
  <c r="V55" i="2"/>
  <c r="AC28" i="2"/>
  <c r="AC15" i="2"/>
  <c r="R55" i="2"/>
  <c r="Z15" i="2"/>
  <c r="AA13" i="2"/>
  <c r="W13" i="2"/>
  <c r="AA27" i="2"/>
  <c r="W27" i="2"/>
  <c r="AA5" i="2"/>
  <c r="W5" i="2"/>
  <c r="W19" i="2"/>
  <c r="AA19" i="2"/>
  <c r="AA18" i="2"/>
  <c r="W18" i="2"/>
  <c r="AC22" i="2"/>
  <c r="Z22" i="2"/>
  <c r="J55" i="2"/>
  <c r="B55" i="2"/>
  <c r="B4" i="2"/>
  <c r="AC24" i="2"/>
  <c r="Z24" i="2"/>
  <c r="Z13" i="2"/>
  <c r="AC13" i="2"/>
  <c r="AC18" i="2"/>
  <c r="Z18" i="2"/>
  <c r="Z5" i="2"/>
  <c r="AC5" i="2"/>
  <c r="AA55" i="2"/>
  <c r="AC55" i="2"/>
  <c r="AC19" i="2"/>
  <c r="Z19" i="2"/>
  <c r="Z27" i="2"/>
  <c r="AC27" i="2"/>
</calcChain>
</file>

<file path=xl/comments1.xml><?xml version="1.0" encoding="utf-8"?>
<comments xmlns="http://schemas.openxmlformats.org/spreadsheetml/2006/main">
  <authors>
    <author>Alan_Eva</author>
  </authors>
  <commentList>
    <comment ref="D17" authorId="0">
      <text>
        <r>
          <rPr>
            <b/>
            <sz val="8"/>
            <color indexed="81"/>
            <rFont val="Tahoma"/>
            <family val="2"/>
          </rPr>
          <t>Paid from 2014 budgets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<sst xmlns="http://schemas.openxmlformats.org/spreadsheetml/2006/main" count="225" uniqueCount="120">
  <si>
    <t>2013 Service Charge</t>
  </si>
  <si>
    <t>2012 Service Charge</t>
  </si>
  <si>
    <t>2014 Service Charge</t>
  </si>
  <si>
    <t>Plot No</t>
  </si>
  <si>
    <t>SQ M</t>
  </si>
  <si>
    <t>% SCH1</t>
  </si>
  <si>
    <t>%SCH2</t>
  </si>
  <si>
    <t>%SCH3</t>
  </si>
  <si>
    <t>Schd 1</t>
  </si>
  <si>
    <t>Schd 2</t>
  </si>
  <si>
    <t>Schd 3</t>
  </si>
  <si>
    <t>Total</t>
  </si>
  <si>
    <t>5 affordable garage spaces</t>
  </si>
  <si>
    <t>incl CCTV</t>
  </si>
  <si>
    <t>CCTV portion</t>
  </si>
  <si>
    <t>Sch2</t>
  </si>
  <si>
    <t>% incr excl CCTV</t>
  </si>
  <si>
    <t>Schd3</t>
  </si>
  <si>
    <t>Property Insurance &amp; Officiers Insurance</t>
  </si>
  <si>
    <t>Arun Pumps Maint</t>
  </si>
  <si>
    <t>Electrical Supplies</t>
  </si>
  <si>
    <t>Management Fees</t>
  </si>
  <si>
    <t>Gardening</t>
  </si>
  <si>
    <t>Southern Water</t>
  </si>
  <si>
    <t>HCL (Man Safe System)</t>
  </si>
  <si>
    <t>Lightening Protect maint</t>
  </si>
  <si>
    <t>Solar panel Clean</t>
  </si>
  <si>
    <t>Water Risk Assess</t>
  </si>
  <si>
    <t>Sink Fund</t>
  </si>
  <si>
    <t>Accountancy Fee</t>
  </si>
  <si>
    <t>Repairs &amp; Maint</t>
  </si>
  <si>
    <t>Pyrotec alarm maint</t>
  </si>
  <si>
    <t>Elect Supplies</t>
  </si>
  <si>
    <t>Interphone  Maint</t>
  </si>
  <si>
    <t>Public Way cleaning</t>
  </si>
  <si>
    <t>Lift Contract &amp; Insurance</t>
  </si>
  <si>
    <t>CCTV repayment (2012 only)</t>
  </si>
  <si>
    <t xml:space="preserve">Schedule 2 </t>
  </si>
  <si>
    <t>Schedule 1</t>
  </si>
  <si>
    <t>Electricity Supplies</t>
  </si>
  <si>
    <t>Repair &amp; Maint</t>
  </si>
  <si>
    <t xml:space="preserve">Schedule 3 </t>
  </si>
  <si>
    <t>Group 1 Total</t>
  </si>
  <si>
    <t>Aprt 1-30</t>
  </si>
  <si>
    <t>Group 2 Total</t>
  </si>
  <si>
    <t>Car Park</t>
  </si>
  <si>
    <t>Group 3 Total</t>
  </si>
  <si>
    <t>Total Budget</t>
  </si>
  <si>
    <t>Charge</t>
  </si>
  <si>
    <t>delta incl cctv</t>
  </si>
  <si>
    <t>delta exc cctv</t>
  </si>
  <si>
    <t>2013 excl CCTV</t>
  </si>
  <si>
    <t>Totals</t>
  </si>
  <si>
    <t xml:space="preserve"> </t>
  </si>
  <si>
    <t>2015 Service Charge</t>
  </si>
  <si>
    <t>% change 2015 - 2014</t>
  </si>
  <si>
    <t>Fire &amp; H &amp; S risk assessments</t>
  </si>
  <si>
    <t>Water ingressinvest &amp; repairs (for sink fund repayment)</t>
  </si>
  <si>
    <t>increase</t>
  </si>
  <si>
    <t>decrease</t>
  </si>
  <si>
    <t>Interim Charge</t>
  </si>
  <si>
    <t>1 - 30 Internals</t>
  </si>
  <si>
    <t>Estate</t>
  </si>
  <si>
    <t>From CW</t>
  </si>
  <si>
    <t>From Budgeted Maintenance fund</t>
  </si>
  <si>
    <t>£3500 from Bugeted Maintenance fund +£4403 from CW</t>
  </si>
  <si>
    <t>For Internal recoration</t>
  </si>
  <si>
    <t>From Carpet Insurance claim</t>
  </si>
  <si>
    <t>For boundary wall Standford Avenue</t>
  </si>
  <si>
    <t>From interim charge for Water ingress work</t>
  </si>
  <si>
    <t>£600 From Budgeted Maintenance fund + £1500 surplus from Maintance fund</t>
  </si>
  <si>
    <t>Actuals 2015</t>
  </si>
  <si>
    <t>Budget 2016</t>
  </si>
  <si>
    <t>% change 2015-2016</t>
  </si>
  <si>
    <t>Comments</t>
  </si>
  <si>
    <t xml:space="preserve">Not responsible for this system </t>
  </si>
  <si>
    <t>5% added to start slow increase of fund collection</t>
  </si>
  <si>
    <t>Change £</t>
  </si>
  <si>
    <t>Water ingress invest &amp; repairs (for sink fund repayment)</t>
  </si>
  <si>
    <t>% change 2016 - 2015</t>
  </si>
  <si>
    <t>Change was made to cleaning company therefore increase in monthly charge (includes carpet clean and bin clean)</t>
  </si>
  <si>
    <t>allow for accts filing fees etc</t>
  </si>
  <si>
    <t>interest + cmp exps</t>
  </si>
  <si>
    <r>
      <t xml:space="preserve">£7000 from Bugeted Maintenance fund </t>
    </r>
    <r>
      <rPr>
        <sz val="9"/>
        <color rgb="FFFF0000"/>
        <rFont val="Calibri"/>
        <family val="2"/>
        <scheme val="minor"/>
      </rPr>
      <t>+ £1000 from ?</t>
    </r>
  </si>
  <si>
    <r>
      <t>From Budgeted Maintenance fund (</t>
    </r>
    <r>
      <rPr>
        <sz val="9"/>
        <color rgb="FFFF0000"/>
        <rFont val="Calibri"/>
        <family val="2"/>
        <scheme val="minor"/>
      </rPr>
      <t>should have been £4000</t>
    </r>
    <r>
      <rPr>
        <sz val="9"/>
        <color theme="1"/>
        <rFont val="Calibri"/>
        <family val="2"/>
        <scheme val="minor"/>
      </rPr>
      <t>)</t>
    </r>
  </si>
  <si>
    <t>% incr 2016</t>
  </si>
  <si>
    <t>Actuals 2015 (from Ellmans cash book)</t>
  </si>
  <si>
    <t>Sink funds 2016</t>
  </si>
  <si>
    <t>Effect on Plot x apportionment</t>
  </si>
  <si>
    <t>Plot No x</t>
  </si>
  <si>
    <t>Apportioned 2016 budget &amp; comparsion with 2014 &amp; 2013 demands</t>
  </si>
  <si>
    <t>Totals 2016 for Plot1</t>
  </si>
  <si>
    <t>Sched 1 Budget</t>
  </si>
  <si>
    <t>Sched 2 Budget</t>
  </si>
  <si>
    <t>Sched 3 Budget</t>
  </si>
  <si>
    <t>Appt x contribution</t>
  </si>
  <si>
    <t>= main charges &gt; £89.00</t>
  </si>
  <si>
    <t>% change by year</t>
  </si>
  <si>
    <t>Enter appt No in cell B5, other data will update automatically.</t>
  </si>
  <si>
    <t>Controlled by Artimis - best estimate for 2016 based on 2015 actuals</t>
  </si>
  <si>
    <t>2015 budget was  reasonable estimate with some contingency</t>
  </si>
  <si>
    <t>Underestimate 2015 + allow for increase</t>
  </si>
  <si>
    <t>Ellman increasing by 5% . Last increase was in 2013. 2015 included Q4 2014</t>
  </si>
  <si>
    <t>2015 was  reasonable estimate with contingency</t>
  </si>
  <si>
    <t>2015 actuals included 10/14 - 12/14 at £2260.87</t>
  </si>
  <si>
    <t>2015 was  reasonable estimate</t>
  </si>
  <si>
    <t>2015 actuals included £2176 for pressure vessel install by Heatcraft, allow for surveyor this year</t>
  </si>
  <si>
    <t>Interim change 2015, contractors paid in 2014</t>
  </si>
  <si>
    <t>Over estimate 2015 use actuals for 2015</t>
  </si>
  <si>
    <t>Underspent 2015 but expect more this year</t>
  </si>
  <si>
    <t>2015 included 835.75 additional work by Mack Elect</t>
  </si>
  <si>
    <t>2015 actuals with some contingency</t>
  </si>
  <si>
    <t>From 2016 budget</t>
  </si>
  <si>
    <t>2015 actuals incl. £2230 smoke vent System and £706 for battery replacement. £800 needed for intrusive insp.</t>
  </si>
  <si>
    <t>= increase</t>
  </si>
  <si>
    <t>= decrease</t>
  </si>
  <si>
    <t>= no change</t>
  </si>
  <si>
    <t>Woodland - Paid back to MTCE as paid from there in 2014</t>
  </si>
  <si>
    <t>Woodland - Paid back to MTCE as paid from there in 2015</t>
  </si>
  <si>
    <t>Phillip Hall - Paid back to MTCE as paid from there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</si>
</sst>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&quot;£&quot;#,##0.00"/>
    <numFmt numFmtId="165" formatCode="dd/mm/yyyy;@"/>
    <numFmt numFmtId="166" formatCode="&quot;£&quot;#,##0"/>
  </numFmts>
  <fonts count="2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indexed="81"/>
      <name val="Tahoma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6">
    <xf numFmtId="0" fontId="0" fillId="0" borderId="0" xfId="0"/>
    <xf numFmtId="10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3" fillId="0" borderId="2" xfId="0" applyFont="1" applyBorder="1"/>
    <xf numFmtId="4" fontId="4" fillId="0" borderId="2" xfId="0" applyNumberFormat="1" applyFont="1" applyBorder="1"/>
    <xf numFmtId="4" fontId="3" fillId="0" borderId="2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0" xfId="0" applyFont="1" applyFill="1"/>
    <xf numFmtId="0" fontId="3" fillId="0" borderId="0" xfId="0" applyFont="1" applyFill="1"/>
    <xf numFmtId="10" fontId="3" fillId="0" borderId="0" xfId="0" applyNumberFormat="1" applyFont="1" applyFill="1"/>
    <xf numFmtId="4" fontId="3" fillId="0" borderId="0" xfId="0" applyNumberFormat="1" applyFont="1" applyFill="1"/>
    <xf numFmtId="0" fontId="3" fillId="3" borderId="0" xfId="0" applyFont="1" applyFill="1"/>
    <xf numFmtId="0" fontId="3" fillId="0" borderId="0" xfId="0" applyFont="1" applyFill="1" applyBorder="1"/>
    <xf numFmtId="0" fontId="2" fillId="0" borderId="1" xfId="0" applyFont="1" applyFill="1" applyBorder="1"/>
    <xf numFmtId="10" fontId="2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3" fillId="3" borderId="0" xfId="0" applyNumberFormat="1" applyFont="1" applyFill="1"/>
    <xf numFmtId="0" fontId="2" fillId="0" borderId="0" xfId="0" applyFont="1" applyFill="1"/>
    <xf numFmtId="4" fontId="2" fillId="0" borderId="2" xfId="0" applyNumberFormat="1" applyFont="1" applyBorder="1"/>
    <xf numFmtId="4" fontId="2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0" fillId="0" borderId="0" xfId="0" applyNumberFormat="1"/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Fill="1" applyBorder="1"/>
    <xf numFmtId="0" fontId="3" fillId="0" borderId="0" xfId="0" applyFont="1" applyAlignment="1">
      <alignment wrapText="1"/>
    </xf>
    <xf numFmtId="10" fontId="3" fillId="3" borderId="0" xfId="0" applyNumberFormat="1" applyFont="1" applyFill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4" fillId="4" borderId="0" xfId="0" applyFont="1" applyFill="1"/>
    <xf numFmtId="4" fontId="3" fillId="4" borderId="2" xfId="0" applyNumberFormat="1" applyFont="1" applyFill="1" applyBorder="1"/>
    <xf numFmtId="4" fontId="4" fillId="4" borderId="0" xfId="0" applyNumberFormat="1" applyFont="1" applyFill="1"/>
    <xf numFmtId="4" fontId="3" fillId="4" borderId="0" xfId="0" applyNumberFormat="1" applyFont="1" applyFill="1"/>
    <xf numFmtId="4" fontId="4" fillId="4" borderId="2" xfId="0" applyNumberFormat="1" applyFont="1" applyFill="1" applyBorder="1"/>
    <xf numFmtId="0" fontId="3" fillId="5" borderId="0" xfId="0" applyFont="1" applyFill="1"/>
    <xf numFmtId="10" fontId="3" fillId="5" borderId="0" xfId="0" applyNumberFormat="1" applyFont="1" applyFill="1"/>
    <xf numFmtId="0" fontId="3" fillId="6" borderId="0" xfId="0" applyFont="1" applyFill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2" fillId="5" borderId="2" xfId="0" applyFont="1" applyFill="1" applyBorder="1"/>
    <xf numFmtId="4" fontId="2" fillId="5" borderId="2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10" fontId="3" fillId="5" borderId="1" xfId="0" applyNumberFormat="1" applyFont="1" applyFill="1" applyBorder="1"/>
    <xf numFmtId="10" fontId="3" fillId="5" borderId="3" xfId="0" applyNumberFormat="1" applyFont="1" applyFill="1" applyBorder="1"/>
    <xf numFmtId="0" fontId="3" fillId="5" borderId="0" xfId="0" applyFont="1" applyFill="1" applyBorder="1"/>
    <xf numFmtId="0" fontId="3" fillId="7" borderId="0" xfId="0" applyFont="1" applyFill="1"/>
    <xf numFmtId="10" fontId="3" fillId="7" borderId="0" xfId="0" applyNumberFormat="1" applyFont="1" applyFill="1"/>
    <xf numFmtId="0" fontId="2" fillId="7" borderId="1" xfId="0" applyFont="1" applyFill="1" applyBorder="1"/>
    <xf numFmtId="10" fontId="3" fillId="7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2" fillId="5" borderId="0" xfId="0" applyNumberFormat="1" applyFont="1" applyFill="1" applyBorder="1"/>
    <xf numFmtId="4" fontId="3" fillId="5" borderId="0" xfId="0" applyNumberFormat="1" applyFont="1" applyFill="1"/>
    <xf numFmtId="4" fontId="3" fillId="7" borderId="0" xfId="0" applyNumberFormat="1" applyFont="1" applyFill="1"/>
    <xf numFmtId="4" fontId="2" fillId="7" borderId="1" xfId="0" applyNumberFormat="1" applyFont="1" applyFill="1" applyBorder="1"/>
    <xf numFmtId="4" fontId="2" fillId="7" borderId="0" xfId="0" applyNumberFormat="1" applyFont="1" applyFill="1" applyBorder="1"/>
    <xf numFmtId="4" fontId="3" fillId="7" borderId="1" xfId="0" applyNumberFormat="1" applyFont="1" applyFill="1" applyBorder="1"/>
    <xf numFmtId="4" fontId="3" fillId="5" borderId="1" xfId="0" applyNumberFormat="1" applyFont="1" applyFill="1" applyBorder="1"/>
    <xf numFmtId="4" fontId="3" fillId="5" borderId="2" xfId="0" applyNumberFormat="1" applyFont="1" applyFill="1" applyBorder="1"/>
    <xf numFmtId="10" fontId="3" fillId="5" borderId="2" xfId="0" applyNumberFormat="1" applyFont="1" applyFill="1" applyBorder="1"/>
    <xf numFmtId="0" fontId="2" fillId="0" borderId="0" xfId="0" applyFont="1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/>
    <xf numFmtId="41" fontId="3" fillId="0" borderId="0" xfId="0" applyNumberFormat="1" applyFont="1" applyFill="1"/>
    <xf numFmtId="41" fontId="3" fillId="3" borderId="0" xfId="0" applyNumberFormat="1" applyFont="1" applyFill="1"/>
    <xf numFmtId="41" fontId="3" fillId="0" borderId="0" xfId="0" applyNumberFormat="1" applyFont="1" applyFill="1" applyBorder="1"/>
    <xf numFmtId="41" fontId="2" fillId="0" borderId="0" xfId="0" applyNumberFormat="1" applyFont="1" applyFill="1"/>
    <xf numFmtId="41" fontId="2" fillId="5" borderId="1" xfId="0" applyNumberFormat="1" applyFont="1" applyFill="1" applyBorder="1"/>
    <xf numFmtId="41" fontId="2" fillId="5" borderId="2" xfId="0" applyNumberFormat="1" applyFont="1" applyFill="1" applyBorder="1"/>
    <xf numFmtId="43" fontId="3" fillId="0" borderId="0" xfId="0" applyNumberFormat="1" applyFont="1" applyAlignment="1">
      <alignment horizontal="center" vertical="center"/>
    </xf>
    <xf numFmtId="43" fontId="3" fillId="0" borderId="0" xfId="0" applyNumberFormat="1" applyFont="1"/>
    <xf numFmtId="43" fontId="3" fillId="0" borderId="0" xfId="0" applyNumberFormat="1" applyFont="1" applyFill="1"/>
    <xf numFmtId="43" fontId="3" fillId="3" borderId="0" xfId="0" applyNumberFormat="1" applyFont="1" applyFill="1"/>
    <xf numFmtId="43" fontId="3" fillId="3" borderId="0" xfId="0" applyNumberFormat="1" applyFont="1" applyFill="1" applyBorder="1"/>
    <xf numFmtId="43" fontId="3" fillId="0" borderId="0" xfId="0" applyNumberFormat="1" applyFont="1" applyFill="1" applyBorder="1"/>
    <xf numFmtId="43" fontId="2" fillId="0" borderId="1" xfId="0" applyNumberFormat="1" applyFont="1" applyFill="1" applyBorder="1"/>
    <xf numFmtId="43" fontId="2" fillId="0" borderId="0" xfId="0" applyNumberFormat="1" applyFont="1" applyFill="1"/>
    <xf numFmtId="43" fontId="2" fillId="5" borderId="2" xfId="0" applyNumberFormat="1" applyFont="1" applyFill="1" applyBorder="1"/>
    <xf numFmtId="41" fontId="3" fillId="5" borderId="0" xfId="0" applyNumberFormat="1" applyFont="1" applyFill="1"/>
    <xf numFmtId="41" fontId="3" fillId="7" borderId="0" xfId="0" applyNumberFormat="1" applyFont="1" applyFill="1"/>
    <xf numFmtId="41" fontId="3" fillId="5" borderId="0" xfId="0" applyNumberFormat="1" applyFont="1" applyFill="1" applyBorder="1"/>
    <xf numFmtId="41" fontId="2" fillId="7" borderId="1" xfId="0" applyNumberFormat="1" applyFont="1" applyFill="1" applyBorder="1"/>
    <xf numFmtId="0" fontId="17" fillId="0" borderId="0" xfId="0" applyFont="1"/>
    <xf numFmtId="0" fontId="18" fillId="0" borderId="0" xfId="0" applyFont="1" applyAlignment="1">
      <alignment vertical="center"/>
    </xf>
    <xf numFmtId="14" fontId="17" fillId="0" borderId="0" xfId="0" applyNumberFormat="1" applyFont="1"/>
    <xf numFmtId="8" fontId="19" fillId="0" borderId="0" xfId="0" applyNumberFormat="1" applyFont="1" applyAlignment="1">
      <alignment vertical="center"/>
    </xf>
    <xf numFmtId="8" fontId="17" fillId="0" borderId="0" xfId="0" applyNumberFormat="1" applyFont="1"/>
    <xf numFmtId="6" fontId="17" fillId="0" borderId="0" xfId="0" applyNumberFormat="1" applyFont="1"/>
    <xf numFmtId="8" fontId="21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8" fontId="22" fillId="0" borderId="0" xfId="0" applyNumberFormat="1" applyFont="1"/>
    <xf numFmtId="165" fontId="17" fillId="0" borderId="0" xfId="0" applyNumberFormat="1" applyFont="1"/>
    <xf numFmtId="8" fontId="22" fillId="0" borderId="3" xfId="0" applyNumberFormat="1" applyFont="1" applyBorder="1"/>
    <xf numFmtId="7" fontId="19" fillId="0" borderId="0" xfId="0" applyNumberFormat="1" applyFont="1" applyAlignment="1">
      <alignment vertical="center"/>
    </xf>
    <xf numFmtId="0" fontId="4" fillId="0" borderId="0" xfId="0" applyFont="1" applyFill="1"/>
    <xf numFmtId="43" fontId="4" fillId="0" borderId="0" xfId="0" applyNumberFormat="1" applyFont="1" applyFill="1"/>
    <xf numFmtId="10" fontId="2" fillId="0" borderId="2" xfId="0" applyNumberFormat="1" applyFont="1" applyFill="1" applyBorder="1"/>
    <xf numFmtId="4" fontId="2" fillId="0" borderId="2" xfId="0" applyNumberFormat="1" applyFont="1" applyFill="1" applyBorder="1"/>
    <xf numFmtId="0" fontId="24" fillId="0" borderId="0" xfId="0" applyFont="1"/>
    <xf numFmtId="0" fontId="2" fillId="0" borderId="0" xfId="0" applyFont="1" applyAlignment="1">
      <alignment horizontal="center" vertical="top" wrapText="1"/>
    </xf>
    <xf numFmtId="43" fontId="2" fillId="0" borderId="0" xfId="0" applyNumberFormat="1" applyFont="1" applyAlignment="1">
      <alignment horizontal="center" vertical="top" wrapText="1"/>
    </xf>
    <xf numFmtId="41" fontId="2" fillId="0" borderId="0" xfId="0" applyNumberFormat="1" applyFont="1" applyAlignment="1">
      <alignment horizontal="center" vertical="top"/>
    </xf>
    <xf numFmtId="0" fontId="6" fillId="0" borderId="2" xfId="0" applyFont="1" applyBorder="1"/>
    <xf numFmtId="164" fontId="6" fillId="0" borderId="2" xfId="0" applyNumberFormat="1" applyFont="1" applyBorder="1"/>
    <xf numFmtId="0" fontId="16" fillId="0" borderId="0" xfId="0" applyFont="1"/>
    <xf numFmtId="0" fontId="0" fillId="0" borderId="3" xfId="0" applyBorder="1"/>
    <xf numFmtId="164" fontId="11" fillId="0" borderId="3" xfId="0" applyNumberFormat="1" applyFont="1" applyBorder="1"/>
    <xf numFmtId="0" fontId="8" fillId="0" borderId="0" xfId="0" applyFont="1" applyAlignment="1">
      <alignment wrapText="1"/>
    </xf>
    <xf numFmtId="0" fontId="0" fillId="0" borderId="2" xfId="0" applyBorder="1"/>
    <xf numFmtId="164" fontId="25" fillId="0" borderId="2" xfId="0" applyNumberFormat="1" applyFont="1" applyBorder="1"/>
    <xf numFmtId="164" fontId="7" fillId="0" borderId="0" xfId="0" applyNumberFormat="1" applyFont="1" applyFill="1"/>
    <xf numFmtId="0" fontId="0" fillId="0" borderId="0" xfId="0" quotePrefix="1"/>
    <xf numFmtId="5" fontId="23" fillId="0" borderId="0" xfId="0" applyNumberFormat="1" applyFont="1"/>
    <xf numFmtId="5" fontId="7" fillId="0" borderId="0" xfId="0" applyNumberFormat="1" applyFont="1"/>
    <xf numFmtId="5" fontId="25" fillId="0" borderId="2" xfId="0" applyNumberFormat="1" applyFont="1" applyBorder="1"/>
    <xf numFmtId="166" fontId="8" fillId="0" borderId="0" xfId="0" applyNumberFormat="1" applyFont="1"/>
    <xf numFmtId="166" fontId="23" fillId="0" borderId="0" xfId="0" applyNumberFormat="1" applyFont="1"/>
    <xf numFmtId="166" fontId="7" fillId="0" borderId="0" xfId="0" applyNumberFormat="1" applyFont="1"/>
    <xf numFmtId="166" fontId="25" fillId="0" borderId="2" xfId="0" applyNumberFormat="1" applyFont="1" applyBorder="1"/>
    <xf numFmtId="166" fontId="26" fillId="0" borderId="2" xfId="0" applyNumberFormat="1" applyFont="1" applyBorder="1"/>
    <xf numFmtId="166" fontId="0" fillId="0" borderId="0" xfId="0" applyNumberFormat="1"/>
    <xf numFmtId="43" fontId="3" fillId="0" borderId="0" xfId="0" applyNumberFormat="1" applyFont="1" applyFill="1" applyAlignment="1">
      <alignment wrapText="1"/>
    </xf>
    <xf numFmtId="0" fontId="8" fillId="0" borderId="0" xfId="0" quotePrefix="1" applyFont="1" applyAlignment="1">
      <alignment wrapText="1"/>
    </xf>
    <xf numFmtId="10" fontId="3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0" fontId="3" fillId="0" borderId="0" xfId="0" applyNumberFormat="1" applyFont="1" applyFill="1" applyBorder="1"/>
    <xf numFmtId="4" fontId="2" fillId="0" borderId="0" xfId="0" applyNumberFormat="1" applyFont="1" applyFill="1" applyBorder="1"/>
    <xf numFmtId="0" fontId="0" fillId="5" borderId="0" xfId="0" applyFill="1"/>
    <xf numFmtId="0" fontId="0" fillId="7" borderId="0" xfId="0" applyFill="1"/>
    <xf numFmtId="0" fontId="3" fillId="7" borderId="0" xfId="0" applyFont="1" applyFill="1" applyBorder="1"/>
  </cellXfs>
  <cellStyles count="7">
    <cellStyle name="Followed Hyperlink" xfId="1" builtinId="9" hidden="1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PM Maintenance Charge</a:t>
            </a:r>
            <a:r>
              <a:rPr lang="en-GB" baseline="0"/>
              <a:t> </a:t>
            </a:r>
            <a:r>
              <a:rPr lang="en-GB" sz="1800" b="1" i="0" u="none" strike="noStrike" baseline="0">
                <a:effectLst/>
              </a:rPr>
              <a:t>(including Sink Fund) </a:t>
            </a:r>
            <a:r>
              <a:rPr lang="en-GB" baseline="0"/>
              <a:t>by Year</a:t>
            </a:r>
            <a:endParaRPr lang="en-GB"/>
          </a:p>
        </c:rich>
      </c:tx>
      <c:layout>
        <c:manualLayout>
          <c:xMode val="edge"/>
          <c:yMode val="edge"/>
          <c:x val="0.13038625250031499"/>
          <c:y val="2.1650214523899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49902728481001"/>
          <c:y val="0.11761719019964199"/>
          <c:w val="0.77013656551172904"/>
          <c:h val="0.75308390628569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Graphs!$B$3:$H$3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Graphs!$B$4:$H$4</c:f>
              <c:numCache>
                <c:formatCode>#,##0.00</c:formatCode>
                <c:ptCount val="7"/>
                <c:pt idx="0">
                  <c:v>46640</c:v>
                </c:pt>
                <c:pt idx="1">
                  <c:v>53916</c:v>
                </c:pt>
                <c:pt idx="2">
                  <c:v>63780</c:v>
                </c:pt>
                <c:pt idx="3">
                  <c:v>68160</c:v>
                </c:pt>
                <c:pt idx="4">
                  <c:v>74845</c:v>
                </c:pt>
                <c:pt idx="5">
                  <c:v>84143</c:v>
                </c:pt>
                <c:pt idx="6">
                  <c:v>85478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38528"/>
        <c:axId val="219923968"/>
      </c:barChart>
      <c:catAx>
        <c:axId val="1752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923968"/>
        <c:crosses val="autoZero"/>
        <c:auto val="1"/>
        <c:lblAlgn val="ctr"/>
        <c:lblOffset val="100"/>
        <c:noMultiLvlLbl val="0"/>
      </c:catAx>
      <c:valAx>
        <c:axId val="2199239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Charge</a:t>
                </a:r>
              </a:p>
            </c:rich>
          </c:tx>
          <c:overlay val="0"/>
        </c:title>
        <c:numFmt formatCode="&quot;£&quot;#,##0.00" sourceLinked="0"/>
        <c:majorTickMark val="out"/>
        <c:minorTickMark val="none"/>
        <c:tickLblPos val="nextTo"/>
        <c:crossAx val="17523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576261</xdr:colOff>
      <xdr:row>6</xdr:row>
      <xdr:rowOff>142874</xdr:rowOff>
    </xdr:from>
    <xdr:to>
      <xdr:col>11</xdr:col>
      <xdr:colOff>142874</xdr:colOff>
      <xdr:row>30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75"/>
  <sheetViews>
    <sheetView tabSelected="1" view="pageLayout" topLeftCell="A33" zoomScaleNormal="100" workbookViewId="0">
      <selection activeCell="H49" sqref="H49"/>
    </sheetView>
  </sheetViews>
  <sheetFormatPr defaultColWidth="8.85546875" defaultRowHeight="15" x14ac:dyDescent="0.25"/>
  <cols>
    <col min="1" max="1" width="39.140625" bestFit="1" customWidth="1"/>
    <col min="2" max="2" width="11.28515625" customWidth="1"/>
    <col min="3" max="3" width="9.42578125" customWidth="1"/>
    <col min="4" max="4" width="9.42578125" bestFit="1" customWidth="1"/>
    <col min="5" max="5" width="9.7109375" bestFit="1" customWidth="1"/>
    <col min="6" max="6" width="11" bestFit="1" customWidth="1"/>
    <col min="7" max="7" width="2.28515625" customWidth="1"/>
    <col min="8" max="8" width="54" style="4" customWidth="1"/>
    <col min="10" max="10" width="10.42578125" customWidth="1"/>
  </cols>
  <sheetData>
    <row r="1" spans="1:8" ht="27" customHeight="1" x14ac:dyDescent="0.25">
      <c r="A1" s="4"/>
      <c r="B1" s="67" t="s">
        <v>77</v>
      </c>
      <c r="C1" s="20" t="s">
        <v>73</v>
      </c>
      <c r="D1" s="75" t="s">
        <v>72</v>
      </c>
      <c r="E1" s="75" t="s">
        <v>71</v>
      </c>
      <c r="F1" s="20" t="s">
        <v>54</v>
      </c>
      <c r="G1" s="20"/>
      <c r="H1" s="75" t="s">
        <v>74</v>
      </c>
    </row>
    <row r="2" spans="1:8" x14ac:dyDescent="0.2">
      <c r="A2" s="3" t="s">
        <v>62</v>
      </c>
      <c r="B2" s="85"/>
      <c r="C2" s="20"/>
      <c r="D2" s="75"/>
      <c r="E2" s="75"/>
      <c r="F2" s="20"/>
      <c r="G2" s="20"/>
      <c r="H2" s="75"/>
    </row>
    <row r="3" spans="1:8" x14ac:dyDescent="0.2">
      <c r="A3" s="58" t="s">
        <v>82</v>
      </c>
      <c r="B3" s="77">
        <f>D3-F3</f>
        <v>100</v>
      </c>
      <c r="C3" s="59"/>
      <c r="D3" s="103">
        <v>100</v>
      </c>
      <c r="E3" s="58">
        <v>3.4</v>
      </c>
      <c r="F3" s="77">
        <v>0</v>
      </c>
      <c r="G3" s="77"/>
      <c r="H3" s="4" t="s">
        <v>81</v>
      </c>
    </row>
    <row r="4" spans="1:8" x14ac:dyDescent="0.2">
      <c r="A4" s="58" t="s">
        <v>18</v>
      </c>
      <c r="B4" s="77">
        <f t="shared" ref="B4:B39" si="0">D4-F4</f>
        <v>2000</v>
      </c>
      <c r="C4" s="59">
        <f t="shared" ref="C4:C11" si="1">(D4-F4)/F4</f>
        <v>0.18181818181818182</v>
      </c>
      <c r="D4" s="103">
        <v>13000</v>
      </c>
      <c r="E4" s="58">
        <v>12226</v>
      </c>
      <c r="F4" s="77">
        <v>11000</v>
      </c>
      <c r="G4" s="77"/>
      <c r="H4" s="4" t="s">
        <v>99</v>
      </c>
    </row>
    <row r="5" spans="1:8" x14ac:dyDescent="0.2">
      <c r="A5" s="22" t="s">
        <v>19</v>
      </c>
      <c r="B5" s="8">
        <f t="shared" si="0"/>
        <v>0</v>
      </c>
      <c r="C5" s="7">
        <f t="shared" si="1"/>
        <v>0</v>
      </c>
      <c r="D5" s="88">
        <v>1000</v>
      </c>
      <c r="E5" s="22">
        <v>863</v>
      </c>
      <c r="F5" s="24">
        <v>1000</v>
      </c>
      <c r="G5" s="24"/>
      <c r="H5" s="4" t="s">
        <v>100</v>
      </c>
    </row>
    <row r="6" spans="1:8" x14ac:dyDescent="0.2">
      <c r="A6" s="58" t="s">
        <v>20</v>
      </c>
      <c r="B6" s="77">
        <f t="shared" si="0"/>
        <v>580</v>
      </c>
      <c r="C6" s="59">
        <f t="shared" si="1"/>
        <v>0.23015873015873015</v>
      </c>
      <c r="D6" s="103">
        <v>3100</v>
      </c>
      <c r="E6" s="58">
        <v>2980</v>
      </c>
      <c r="F6" s="77">
        <v>2520</v>
      </c>
      <c r="G6" s="77"/>
      <c r="H6" s="4" t="s">
        <v>101</v>
      </c>
    </row>
    <row r="7" spans="1:8" x14ac:dyDescent="0.2">
      <c r="A7" s="58" t="s">
        <v>21</v>
      </c>
      <c r="B7" s="77">
        <f t="shared" si="0"/>
        <v>318</v>
      </c>
      <c r="C7" s="59">
        <f t="shared" si="1"/>
        <v>0.05</v>
      </c>
      <c r="D7" s="103">
        <v>6678</v>
      </c>
      <c r="E7" s="58">
        <v>7673</v>
      </c>
      <c r="F7" s="77">
        <v>6360</v>
      </c>
      <c r="G7" s="77"/>
      <c r="H7" s="4" t="s">
        <v>102</v>
      </c>
    </row>
    <row r="8" spans="1:8" x14ac:dyDescent="0.2">
      <c r="A8" s="22" t="s">
        <v>22</v>
      </c>
      <c r="B8" s="8">
        <f t="shared" si="0"/>
        <v>0</v>
      </c>
      <c r="C8" s="7">
        <f t="shared" si="1"/>
        <v>0</v>
      </c>
      <c r="D8" s="88">
        <v>3000</v>
      </c>
      <c r="E8" s="22">
        <v>2824</v>
      </c>
      <c r="F8" s="8">
        <v>3000</v>
      </c>
      <c r="G8" s="8"/>
      <c r="H8" s="4" t="s">
        <v>103</v>
      </c>
    </row>
    <row r="9" spans="1:8" x14ac:dyDescent="0.25">
      <c r="A9" s="58" t="s">
        <v>23</v>
      </c>
      <c r="B9" s="77">
        <f t="shared" si="0"/>
        <v>2900</v>
      </c>
      <c r="C9" s="59">
        <f t="shared" si="1"/>
        <v>0.23015873015873015</v>
      </c>
      <c r="D9" s="103">
        <v>15500</v>
      </c>
      <c r="E9" s="58">
        <v>17526</v>
      </c>
      <c r="F9" s="77">
        <v>12600</v>
      </c>
      <c r="G9" s="77"/>
      <c r="H9" s="4" t="s">
        <v>104</v>
      </c>
    </row>
    <row r="10" spans="1:8" x14ac:dyDescent="0.2">
      <c r="A10" s="22" t="s">
        <v>24</v>
      </c>
      <c r="B10" s="8">
        <f t="shared" si="0"/>
        <v>0</v>
      </c>
      <c r="C10" s="7">
        <f t="shared" si="1"/>
        <v>0</v>
      </c>
      <c r="D10" s="88">
        <v>430</v>
      </c>
      <c r="E10" s="22">
        <v>420</v>
      </c>
      <c r="F10" s="8">
        <v>430</v>
      </c>
      <c r="G10" s="8"/>
      <c r="H10" s="4" t="s">
        <v>105</v>
      </c>
    </row>
    <row r="11" spans="1:8" x14ac:dyDescent="0.2">
      <c r="A11" s="58" t="s">
        <v>25</v>
      </c>
      <c r="B11" s="77">
        <f t="shared" si="0"/>
        <v>30</v>
      </c>
      <c r="C11" s="59">
        <f t="shared" si="1"/>
        <v>0.05</v>
      </c>
      <c r="D11" s="103">
        <v>630</v>
      </c>
      <c r="E11" s="58">
        <v>612</v>
      </c>
      <c r="F11" s="77">
        <v>600</v>
      </c>
      <c r="G11" s="77"/>
      <c r="H11" s="4" t="s">
        <v>105</v>
      </c>
    </row>
    <row r="12" spans="1:8" x14ac:dyDescent="0.2">
      <c r="A12" s="22" t="s">
        <v>26</v>
      </c>
      <c r="B12" s="8">
        <f t="shared" si="0"/>
        <v>0</v>
      </c>
      <c r="C12" s="7"/>
      <c r="D12" s="88"/>
      <c r="E12" s="22">
        <v>0</v>
      </c>
      <c r="F12" s="24">
        <v>0</v>
      </c>
      <c r="G12" s="24"/>
      <c r="H12" s="4" t="s">
        <v>75</v>
      </c>
    </row>
    <row r="13" spans="1:8" x14ac:dyDescent="0.2">
      <c r="A13" s="71" t="s">
        <v>27</v>
      </c>
      <c r="B13" s="78">
        <f t="shared" si="0"/>
        <v>-84</v>
      </c>
      <c r="C13" s="72">
        <f t="shared" ref="C13:C18" si="2">(D13-F13)/F13</f>
        <v>-5.3030303030303032E-2</v>
      </c>
      <c r="D13" s="104">
        <v>1500</v>
      </c>
      <c r="E13" s="71">
        <v>990</v>
      </c>
      <c r="F13" s="78">
        <v>1584</v>
      </c>
      <c r="G13" s="78"/>
      <c r="H13" s="4" t="s">
        <v>111</v>
      </c>
    </row>
    <row r="14" spans="1:8" x14ac:dyDescent="0.2">
      <c r="A14" s="58" t="s">
        <v>28</v>
      </c>
      <c r="B14" s="77">
        <f t="shared" si="0"/>
        <v>200</v>
      </c>
      <c r="C14" s="59">
        <f t="shared" si="2"/>
        <v>0.05</v>
      </c>
      <c r="D14" s="103">
        <v>4200</v>
      </c>
      <c r="E14" s="58">
        <v>4000</v>
      </c>
      <c r="F14" s="77">
        <v>4000</v>
      </c>
      <c r="G14" s="77"/>
      <c r="H14" s="4" t="s">
        <v>76</v>
      </c>
    </row>
    <row r="15" spans="1:8" x14ac:dyDescent="0.2">
      <c r="A15" s="22" t="s">
        <v>29</v>
      </c>
      <c r="B15" s="8">
        <f t="shared" si="0"/>
        <v>0</v>
      </c>
      <c r="C15" s="7">
        <f t="shared" si="2"/>
        <v>0</v>
      </c>
      <c r="D15" s="88">
        <v>500</v>
      </c>
      <c r="E15" s="22">
        <v>360</v>
      </c>
      <c r="F15" s="8">
        <v>500</v>
      </c>
      <c r="G15" s="8"/>
      <c r="H15" s="4" t="s">
        <v>111</v>
      </c>
    </row>
    <row r="16" spans="1:8" x14ac:dyDescent="0.25">
      <c r="A16" s="70" t="s">
        <v>30</v>
      </c>
      <c r="B16" s="77">
        <f t="shared" si="0"/>
        <v>1750</v>
      </c>
      <c r="C16" s="59">
        <f t="shared" si="2"/>
        <v>0.35</v>
      </c>
      <c r="D16" s="105">
        <v>6750</v>
      </c>
      <c r="E16" s="70">
        <v>6744</v>
      </c>
      <c r="F16" s="77">
        <v>5000</v>
      </c>
      <c r="G16" s="77"/>
      <c r="H16" s="4" t="s">
        <v>106</v>
      </c>
    </row>
    <row r="17" spans="1:8" x14ac:dyDescent="0.2">
      <c r="A17" s="155" t="s">
        <v>78</v>
      </c>
      <c r="B17" s="78">
        <f>D17-F17</f>
        <v>-8964</v>
      </c>
      <c r="C17" s="72">
        <f t="shared" si="2"/>
        <v>-1</v>
      </c>
      <c r="D17" s="155"/>
      <c r="E17" s="155"/>
      <c r="F17" s="78">
        <v>8964</v>
      </c>
      <c r="G17" s="78"/>
      <c r="H17" s="4" t="s">
        <v>107</v>
      </c>
    </row>
    <row r="18" spans="1:8" x14ac:dyDescent="0.2">
      <c r="A18" s="73" t="s">
        <v>42</v>
      </c>
      <c r="B18" s="81">
        <f>SUM(B3:B17)</f>
        <v>-1170</v>
      </c>
      <c r="C18" s="74">
        <f t="shared" si="2"/>
        <v>-2.0327322005629103E-2</v>
      </c>
      <c r="D18" s="73">
        <f>SUM(D3:D17)</f>
        <v>56388</v>
      </c>
      <c r="E18" s="73">
        <f>SUM(E3:E17)</f>
        <v>57221.4</v>
      </c>
      <c r="F18" s="79">
        <f>SUM(F3:F17)</f>
        <v>57558</v>
      </c>
      <c r="G18" s="80"/>
    </row>
    <row r="19" spans="1:8" x14ac:dyDescent="0.2">
      <c r="A19" s="22"/>
      <c r="B19" s="8"/>
      <c r="C19" s="7"/>
      <c r="D19" s="22"/>
      <c r="E19" s="22"/>
      <c r="F19" s="66"/>
      <c r="G19" s="66"/>
    </row>
    <row r="20" spans="1:8" x14ac:dyDescent="0.2">
      <c r="A20" s="34" t="s">
        <v>43</v>
      </c>
      <c r="B20" s="8"/>
      <c r="C20" s="7"/>
      <c r="D20" s="34"/>
      <c r="E20" s="34"/>
      <c r="F20" s="66"/>
      <c r="G20" s="66"/>
    </row>
    <row r="21" spans="1:8" x14ac:dyDescent="0.25">
      <c r="A21" s="58" t="s">
        <v>31</v>
      </c>
      <c r="B21" s="77">
        <f t="shared" si="0"/>
        <v>1000</v>
      </c>
      <c r="C21" s="59">
        <f>(D21-F21)/F21</f>
        <v>0.4</v>
      </c>
      <c r="D21" s="103">
        <v>3500</v>
      </c>
      <c r="E21" s="58">
        <v>5103</v>
      </c>
      <c r="F21" s="77">
        <v>2500</v>
      </c>
      <c r="G21" s="77"/>
      <c r="H21" s="4" t="s">
        <v>113</v>
      </c>
    </row>
    <row r="22" spans="1:8" x14ac:dyDescent="0.2">
      <c r="A22" s="58" t="s">
        <v>32</v>
      </c>
      <c r="B22" s="77">
        <f t="shared" si="0"/>
        <v>580</v>
      </c>
      <c r="C22" s="59">
        <f>(D22-F22)/F22</f>
        <v>0.23015873015873015</v>
      </c>
      <c r="D22" s="103">
        <v>3100</v>
      </c>
      <c r="E22" s="58">
        <v>2980</v>
      </c>
      <c r="F22" s="77">
        <v>2520</v>
      </c>
      <c r="G22" s="77"/>
      <c r="H22" s="4" t="s">
        <v>101</v>
      </c>
    </row>
    <row r="23" spans="1:8" x14ac:dyDescent="0.2">
      <c r="A23" s="71" t="s">
        <v>56</v>
      </c>
      <c r="B23" s="78">
        <f t="shared" si="0"/>
        <v>-100</v>
      </c>
      <c r="C23" s="72">
        <f>(D23-F23)/F23</f>
        <v>-0.16666666666666666</v>
      </c>
      <c r="D23" s="104">
        <v>500</v>
      </c>
      <c r="E23" s="71">
        <v>480</v>
      </c>
      <c r="F23" s="78">
        <v>600</v>
      </c>
      <c r="G23" s="78"/>
      <c r="H23" s="4" t="s">
        <v>108</v>
      </c>
    </row>
    <row r="24" spans="1:8" x14ac:dyDescent="0.2">
      <c r="A24" s="22" t="s">
        <v>33</v>
      </c>
      <c r="B24" s="8">
        <f t="shared" si="0"/>
        <v>0</v>
      </c>
      <c r="C24" s="7"/>
      <c r="D24" s="88">
        <v>0</v>
      </c>
      <c r="E24" s="22">
        <v>0</v>
      </c>
      <c r="F24" s="24">
        <v>0</v>
      </c>
      <c r="G24" s="24"/>
    </row>
    <row r="25" spans="1:8" x14ac:dyDescent="0.2">
      <c r="A25" s="58" t="s">
        <v>34</v>
      </c>
      <c r="B25" s="77">
        <f t="shared" si="0"/>
        <v>1500</v>
      </c>
      <c r="C25" s="59">
        <f>(D25-F25)/F25</f>
        <v>0.375</v>
      </c>
      <c r="D25" s="103">
        <v>5500</v>
      </c>
      <c r="E25" s="58">
        <v>4698</v>
      </c>
      <c r="F25" s="77">
        <v>4000</v>
      </c>
      <c r="G25" s="77"/>
      <c r="H25" s="4" t="s">
        <v>80</v>
      </c>
    </row>
    <row r="26" spans="1:8" x14ac:dyDescent="0.2">
      <c r="A26" s="71" t="s">
        <v>30</v>
      </c>
      <c r="B26" s="78">
        <f t="shared" si="0"/>
        <v>-250</v>
      </c>
      <c r="C26" s="72">
        <f>(D26-F26)/F26</f>
        <v>-8.3333333333333329E-2</v>
      </c>
      <c r="D26" s="104">
        <v>2750</v>
      </c>
      <c r="E26" s="71">
        <v>1754</v>
      </c>
      <c r="F26" s="78">
        <v>3000</v>
      </c>
      <c r="G26" s="78"/>
      <c r="H26" s="4" t="s">
        <v>111</v>
      </c>
    </row>
    <row r="27" spans="1:8" x14ac:dyDescent="0.2">
      <c r="A27" s="71" t="s">
        <v>35</v>
      </c>
      <c r="B27" s="78">
        <f t="shared" si="0"/>
        <v>-500</v>
      </c>
      <c r="C27" s="72">
        <f>(D27-F27)/F27</f>
        <v>-0.2</v>
      </c>
      <c r="D27" s="104">
        <v>2000</v>
      </c>
      <c r="E27" s="71">
        <v>299</v>
      </c>
      <c r="F27" s="78">
        <v>2500</v>
      </c>
      <c r="G27" s="78"/>
      <c r="H27" s="4" t="s">
        <v>109</v>
      </c>
    </row>
    <row r="28" spans="1:8" x14ac:dyDescent="0.2">
      <c r="A28" s="58" t="s">
        <v>28</v>
      </c>
      <c r="B28" s="77">
        <f t="shared" si="0"/>
        <v>350</v>
      </c>
      <c r="C28" s="59">
        <f>(D28-F28)/F28</f>
        <v>0.05</v>
      </c>
      <c r="D28" s="103">
        <v>7350</v>
      </c>
      <c r="E28" s="58">
        <v>7000</v>
      </c>
      <c r="F28" s="77">
        <v>7000</v>
      </c>
      <c r="G28" s="77"/>
      <c r="H28" s="4" t="s">
        <v>76</v>
      </c>
    </row>
    <row r="29" spans="1:8" x14ac:dyDescent="0.2">
      <c r="A29" s="22" t="s">
        <v>36</v>
      </c>
      <c r="B29" s="8">
        <f t="shared" si="0"/>
        <v>0</v>
      </c>
      <c r="C29" s="7"/>
      <c r="D29" s="22">
        <v>0</v>
      </c>
      <c r="E29" s="22">
        <v>0</v>
      </c>
      <c r="F29" s="24">
        <v>0</v>
      </c>
      <c r="G29" s="24"/>
    </row>
    <row r="30" spans="1:8" x14ac:dyDescent="0.2">
      <c r="A30" s="61" t="s">
        <v>44</v>
      </c>
      <c r="B30" s="82">
        <f t="shared" si="0"/>
        <v>2580</v>
      </c>
      <c r="C30" s="68">
        <f>(D30-F30)/F30</f>
        <v>0.1166365280289331</v>
      </c>
      <c r="D30" s="61">
        <f>SUM(D21:D29)</f>
        <v>24700</v>
      </c>
      <c r="E30" s="61">
        <f>SUM(E21:E29)</f>
        <v>22314</v>
      </c>
      <c r="F30" s="62">
        <f>SUM(F21:F29)</f>
        <v>22120</v>
      </c>
      <c r="G30" s="76"/>
    </row>
    <row r="31" spans="1:8" x14ac:dyDescent="0.2">
      <c r="A31" s="22"/>
      <c r="B31" s="8"/>
      <c r="C31" s="7"/>
      <c r="D31" s="22"/>
      <c r="E31" s="22"/>
      <c r="F31" s="66"/>
      <c r="G31" s="66"/>
    </row>
    <row r="32" spans="1:8" x14ac:dyDescent="0.2">
      <c r="A32" s="34" t="s">
        <v>45</v>
      </c>
      <c r="B32" s="8"/>
      <c r="C32" s="7"/>
      <c r="D32" s="34"/>
      <c r="E32" s="34"/>
      <c r="F32" s="66"/>
      <c r="G32" s="66"/>
    </row>
    <row r="33" spans="1:10" x14ac:dyDescent="0.2">
      <c r="A33" s="58" t="s">
        <v>39</v>
      </c>
      <c r="B33" s="77">
        <f t="shared" si="0"/>
        <v>195</v>
      </c>
      <c r="C33" s="59">
        <f>(D33-F33)/F33</f>
        <v>0.14285714285714285</v>
      </c>
      <c r="D33" s="58">
        <v>1560</v>
      </c>
      <c r="E33" s="58">
        <v>1490</v>
      </c>
      <c r="F33" s="77">
        <v>1365</v>
      </c>
      <c r="G33" s="77"/>
      <c r="H33" s="4" t="s">
        <v>101</v>
      </c>
    </row>
    <row r="34" spans="1:10" x14ac:dyDescent="0.2">
      <c r="A34" s="71" t="s">
        <v>40</v>
      </c>
      <c r="B34" s="78">
        <f t="shared" si="0"/>
        <v>-300</v>
      </c>
      <c r="C34" s="72">
        <f>(D34-F34)/F34</f>
        <v>-0.12</v>
      </c>
      <c r="D34" s="71">
        <v>2200</v>
      </c>
      <c r="E34" s="71">
        <v>2612</v>
      </c>
      <c r="F34" s="78">
        <v>2500</v>
      </c>
      <c r="G34" s="78"/>
      <c r="H34" s="4" t="s">
        <v>110</v>
      </c>
    </row>
    <row r="35" spans="1:10" x14ac:dyDescent="0.2">
      <c r="A35" s="58" t="s">
        <v>28</v>
      </c>
      <c r="B35" s="77">
        <f t="shared" si="0"/>
        <v>30</v>
      </c>
      <c r="C35" s="59">
        <f>(D35-F35)/F35</f>
        <v>0.05</v>
      </c>
      <c r="D35" s="58">
        <v>630</v>
      </c>
      <c r="E35" s="58">
        <v>600</v>
      </c>
      <c r="F35" s="77">
        <v>600</v>
      </c>
      <c r="G35" s="77"/>
      <c r="H35" s="4" t="s">
        <v>76</v>
      </c>
    </row>
    <row r="36" spans="1:10" x14ac:dyDescent="0.2">
      <c r="A36" s="22" t="s">
        <v>36</v>
      </c>
      <c r="B36" s="8">
        <f t="shared" si="0"/>
        <v>0</v>
      </c>
      <c r="C36" s="7"/>
      <c r="D36" s="22">
        <v>0</v>
      </c>
      <c r="E36" s="22">
        <v>0</v>
      </c>
      <c r="F36" s="24">
        <v>0</v>
      </c>
      <c r="G36" s="24"/>
    </row>
    <row r="37" spans="1:10" x14ac:dyDescent="0.2">
      <c r="A37" s="73" t="s">
        <v>46</v>
      </c>
      <c r="B37" s="81">
        <f t="shared" si="0"/>
        <v>-75</v>
      </c>
      <c r="C37" s="74">
        <f>(D37-F37)/F37</f>
        <v>-1.6797312430011199E-2</v>
      </c>
      <c r="D37" s="73">
        <f>SUM(D33:D36)</f>
        <v>4390</v>
      </c>
      <c r="E37" s="73">
        <f>SUM(E33:E36)</f>
        <v>4702</v>
      </c>
      <c r="F37" s="79">
        <f>SUM(F33:F36)</f>
        <v>4465</v>
      </c>
      <c r="G37" s="80"/>
      <c r="J37" s="136" t="s">
        <v>116</v>
      </c>
    </row>
    <row r="38" spans="1:10" x14ac:dyDescent="0.2">
      <c r="A38" s="4"/>
      <c r="B38" s="8"/>
      <c r="C38" s="7"/>
      <c r="D38" s="4"/>
      <c r="E38" s="4"/>
      <c r="I38" s="153"/>
      <c r="J38" s="136" t="s">
        <v>114</v>
      </c>
    </row>
    <row r="39" spans="1:10" ht="15.95" thickBot="1" x14ac:dyDescent="0.25">
      <c r="A39" s="63" t="s">
        <v>47</v>
      </c>
      <c r="B39" s="83">
        <f t="shared" si="0"/>
        <v>1335</v>
      </c>
      <c r="C39" s="84">
        <f>(D39-F39)/F39</f>
        <v>1.5865847426405049E-2</v>
      </c>
      <c r="D39" s="64">
        <f>D37+D30+D18</f>
        <v>85478</v>
      </c>
      <c r="E39" s="64">
        <f>E37+E30+E18</f>
        <v>84237.4</v>
      </c>
      <c r="F39" s="64">
        <f>F37+F30+F18</f>
        <v>84143</v>
      </c>
      <c r="G39" s="76"/>
      <c r="I39" s="154"/>
      <c r="J39" s="136" t="s">
        <v>115</v>
      </c>
    </row>
    <row r="40" spans="1:10" ht="15.75" thickTop="1" x14ac:dyDescent="0.25">
      <c r="A40" s="43"/>
      <c r="B40" s="65"/>
      <c r="C40" s="151"/>
      <c r="D40" s="152"/>
      <c r="E40" s="152"/>
      <c r="F40" s="152"/>
      <c r="G40" s="152"/>
    </row>
    <row r="41" spans="1:10" x14ac:dyDescent="0.25">
      <c r="A41" s="10" t="s">
        <v>87</v>
      </c>
      <c r="B41" s="4"/>
      <c r="C41" s="4"/>
      <c r="D41" s="4"/>
      <c r="E41" s="4"/>
    </row>
    <row r="42" spans="1:10" x14ac:dyDescent="0.25">
      <c r="A42" s="107"/>
      <c r="B42" s="107"/>
      <c r="C42" s="108" t="s">
        <v>61</v>
      </c>
      <c r="D42" s="107"/>
      <c r="E42" s="107"/>
      <c r="F42" s="107"/>
      <c r="G42" s="107"/>
      <c r="H42" s="107"/>
    </row>
    <row r="43" spans="1:10" x14ac:dyDescent="0.25">
      <c r="A43" s="107"/>
      <c r="B43" s="109">
        <v>41081</v>
      </c>
      <c r="C43" s="110">
        <v>7903.96</v>
      </c>
      <c r="D43" s="107"/>
      <c r="E43" s="111" t="s">
        <v>65</v>
      </c>
      <c r="F43" s="107"/>
      <c r="G43" s="107"/>
      <c r="H43" s="107"/>
    </row>
    <row r="44" spans="1:10" x14ac:dyDescent="0.25">
      <c r="A44" s="107"/>
      <c r="B44" s="109">
        <v>41129</v>
      </c>
      <c r="C44" s="110">
        <v>3607.37</v>
      </c>
      <c r="D44" s="107"/>
      <c r="E44" s="107" t="s">
        <v>63</v>
      </c>
      <c r="F44" s="107"/>
      <c r="G44" s="107"/>
      <c r="H44" s="107"/>
    </row>
    <row r="45" spans="1:10" x14ac:dyDescent="0.25">
      <c r="A45" s="107"/>
      <c r="B45" s="109">
        <v>41327</v>
      </c>
      <c r="C45" s="110">
        <v>6500</v>
      </c>
      <c r="D45" s="107"/>
      <c r="E45" s="107" t="s">
        <v>64</v>
      </c>
      <c r="F45" s="107"/>
      <c r="G45" s="107"/>
      <c r="H45" s="107"/>
    </row>
    <row r="46" spans="1:10" x14ac:dyDescent="0.25">
      <c r="A46" s="107"/>
      <c r="B46" s="109">
        <v>41472</v>
      </c>
      <c r="C46" s="110">
        <v>-11702.4</v>
      </c>
      <c r="D46" s="107"/>
      <c r="E46" s="107" t="s">
        <v>66</v>
      </c>
      <c r="F46" s="107"/>
      <c r="G46" s="107"/>
      <c r="H46" s="107"/>
    </row>
    <row r="47" spans="1:10" x14ac:dyDescent="0.25">
      <c r="A47" s="107"/>
      <c r="B47" s="109">
        <v>41792</v>
      </c>
      <c r="C47" s="110">
        <v>8000</v>
      </c>
      <c r="D47" s="107"/>
      <c r="E47" s="112" t="s">
        <v>83</v>
      </c>
      <c r="F47" s="107"/>
      <c r="G47" s="107"/>
      <c r="H47" s="107"/>
    </row>
    <row r="48" spans="1:10" x14ac:dyDescent="0.25">
      <c r="A48" s="107"/>
      <c r="B48" s="109">
        <v>42108</v>
      </c>
      <c r="C48" s="110">
        <v>7000</v>
      </c>
      <c r="D48" s="107"/>
      <c r="E48" s="107" t="s">
        <v>64</v>
      </c>
      <c r="F48" s="107"/>
      <c r="G48" s="107"/>
      <c r="H48" s="107"/>
    </row>
    <row r="49" spans="1:8" x14ac:dyDescent="0.25">
      <c r="A49" s="107"/>
      <c r="B49" s="109">
        <v>42187</v>
      </c>
      <c r="C49" s="110">
        <v>1702.61</v>
      </c>
      <c r="D49" s="107"/>
      <c r="E49" s="107" t="s">
        <v>67</v>
      </c>
      <c r="F49" s="107"/>
      <c r="G49" s="107"/>
      <c r="H49" s="107"/>
    </row>
    <row r="50" spans="1:8" x14ac:dyDescent="0.25">
      <c r="A50" s="107"/>
      <c r="B50" s="109">
        <v>42370</v>
      </c>
      <c r="C50" s="118">
        <f>D28</f>
        <v>7350</v>
      </c>
      <c r="D50" s="107"/>
      <c r="E50" s="107" t="s">
        <v>112</v>
      </c>
      <c r="F50" s="107"/>
      <c r="G50" s="107"/>
      <c r="H50" s="107"/>
    </row>
    <row r="51" spans="1:8" x14ac:dyDescent="0.25">
      <c r="A51" s="107"/>
      <c r="B51" s="107"/>
      <c r="C51" s="107"/>
      <c r="D51" s="113">
        <f>SUM(C43:C50)</f>
        <v>30361.54</v>
      </c>
      <c r="E51" s="111"/>
      <c r="F51" s="107"/>
      <c r="G51" s="107"/>
      <c r="H51" s="107"/>
    </row>
    <row r="52" spans="1:8" x14ac:dyDescent="0.25">
      <c r="A52" s="107"/>
      <c r="B52" s="107"/>
      <c r="C52" s="110"/>
      <c r="D52" s="107"/>
      <c r="E52" s="107"/>
      <c r="F52" s="107"/>
      <c r="G52" s="107"/>
      <c r="H52" s="107"/>
    </row>
    <row r="53" spans="1:8" x14ac:dyDescent="0.25">
      <c r="A53" s="107"/>
      <c r="B53" s="107"/>
      <c r="C53" s="108" t="s">
        <v>62</v>
      </c>
      <c r="D53" s="107"/>
      <c r="E53" s="107"/>
      <c r="F53" s="107"/>
      <c r="G53" s="107"/>
      <c r="H53" s="107"/>
    </row>
    <row r="54" spans="1:8" x14ac:dyDescent="0.25">
      <c r="A54" s="107"/>
      <c r="B54" s="109">
        <v>41081</v>
      </c>
      <c r="C54" s="110">
        <v>3500</v>
      </c>
      <c r="D54" s="107"/>
      <c r="E54" s="107" t="s">
        <v>64</v>
      </c>
      <c r="F54" s="107"/>
      <c r="G54" s="107"/>
      <c r="H54" s="107"/>
    </row>
    <row r="55" spans="1:8" x14ac:dyDescent="0.25">
      <c r="A55" s="107"/>
      <c r="B55" s="109">
        <v>41129</v>
      </c>
      <c r="C55" s="110">
        <v>1392.63</v>
      </c>
      <c r="D55" s="107"/>
      <c r="E55" s="107" t="s">
        <v>63</v>
      </c>
      <c r="F55" s="107"/>
      <c r="G55" s="107"/>
      <c r="H55" s="107"/>
    </row>
    <row r="56" spans="1:8" x14ac:dyDescent="0.25">
      <c r="A56" s="107"/>
      <c r="B56" s="109">
        <v>41218</v>
      </c>
      <c r="C56" s="110">
        <v>-900</v>
      </c>
      <c r="D56" s="107"/>
      <c r="E56" s="107" t="s">
        <v>68</v>
      </c>
      <c r="F56" s="107"/>
      <c r="G56" s="107"/>
      <c r="H56" s="107"/>
    </row>
    <row r="57" spans="1:8" x14ac:dyDescent="0.25">
      <c r="A57" s="107"/>
      <c r="B57" s="109">
        <v>41327</v>
      </c>
      <c r="C57" s="110">
        <v>3500</v>
      </c>
      <c r="D57" s="107"/>
      <c r="E57" s="107" t="s">
        <v>64</v>
      </c>
      <c r="F57" s="107"/>
      <c r="G57" s="107"/>
      <c r="H57" s="107"/>
    </row>
    <row r="58" spans="1:8" x14ac:dyDescent="0.25">
      <c r="A58" s="107"/>
      <c r="B58" s="109">
        <v>41792</v>
      </c>
      <c r="C58" s="110">
        <v>3500</v>
      </c>
      <c r="D58" s="107"/>
      <c r="E58" s="107" t="s">
        <v>84</v>
      </c>
      <c r="F58" s="107"/>
      <c r="G58" s="107"/>
      <c r="H58" s="107"/>
    </row>
    <row r="59" spans="1:8" x14ac:dyDescent="0.25">
      <c r="A59" s="107"/>
      <c r="B59" s="109">
        <v>42108</v>
      </c>
      <c r="C59" s="110">
        <v>4000</v>
      </c>
      <c r="D59" s="107"/>
      <c r="E59" s="107" t="s">
        <v>64</v>
      </c>
      <c r="F59" s="107"/>
      <c r="G59" s="107"/>
      <c r="H59" s="107"/>
    </row>
    <row r="60" spans="1:8" x14ac:dyDescent="0.25">
      <c r="A60" s="107"/>
      <c r="B60" s="109">
        <v>42108</v>
      </c>
      <c r="C60" s="110">
        <v>8964</v>
      </c>
      <c r="D60" s="107"/>
      <c r="E60" s="107" t="s">
        <v>69</v>
      </c>
      <c r="F60" s="107"/>
      <c r="G60" s="107"/>
      <c r="H60" s="107"/>
    </row>
    <row r="61" spans="1:8" x14ac:dyDescent="0.25">
      <c r="A61" s="107"/>
      <c r="B61" s="109">
        <v>41953</v>
      </c>
      <c r="C61" s="110">
        <v>-4152</v>
      </c>
      <c r="D61" s="107"/>
      <c r="E61" s="107" t="s">
        <v>117</v>
      </c>
      <c r="F61" s="107"/>
      <c r="G61" s="107"/>
      <c r="H61" s="107"/>
    </row>
    <row r="62" spans="1:8" x14ac:dyDescent="0.25">
      <c r="A62" s="107"/>
      <c r="B62" s="109">
        <v>41953</v>
      </c>
      <c r="C62" s="110">
        <v>-3228</v>
      </c>
      <c r="D62" s="107"/>
      <c r="E62" s="107" t="s">
        <v>118</v>
      </c>
      <c r="F62" s="107"/>
      <c r="G62" s="107"/>
      <c r="H62" s="107"/>
    </row>
    <row r="63" spans="1:8" x14ac:dyDescent="0.25">
      <c r="A63" s="107"/>
      <c r="B63" s="109">
        <v>41953</v>
      </c>
      <c r="C63" s="110">
        <v>-1584</v>
      </c>
      <c r="D63" s="107"/>
      <c r="E63" s="107" t="s">
        <v>119</v>
      </c>
      <c r="F63" s="107"/>
      <c r="G63" s="107"/>
      <c r="H63" s="107"/>
    </row>
    <row r="64" spans="1:8" x14ac:dyDescent="0.25">
      <c r="A64" s="107"/>
      <c r="B64" s="109">
        <v>42370</v>
      </c>
      <c r="C64" s="118">
        <f>D14</f>
        <v>4200</v>
      </c>
      <c r="D64" s="107"/>
      <c r="E64" s="107" t="s">
        <v>112</v>
      </c>
      <c r="F64" s="107"/>
      <c r="G64" s="107"/>
      <c r="H64" s="107"/>
    </row>
    <row r="65" spans="1:8" x14ac:dyDescent="0.25">
      <c r="A65" s="107"/>
      <c r="B65" s="107"/>
      <c r="C65" s="114"/>
      <c r="D65" s="115">
        <f>SUM(C54:C64)</f>
        <v>19192.63</v>
      </c>
      <c r="E65" s="111"/>
      <c r="F65" s="107"/>
      <c r="G65" s="107"/>
      <c r="H65" s="107"/>
    </row>
    <row r="66" spans="1:8" x14ac:dyDescent="0.25">
      <c r="A66" s="107"/>
      <c r="B66" s="107"/>
      <c r="C66" s="114"/>
      <c r="D66" s="107"/>
      <c r="E66" s="107"/>
      <c r="F66" s="107"/>
      <c r="G66" s="107"/>
      <c r="H66" s="107"/>
    </row>
    <row r="67" spans="1:8" x14ac:dyDescent="0.25">
      <c r="A67" s="107"/>
      <c r="B67" s="107"/>
      <c r="C67" s="108" t="s">
        <v>45</v>
      </c>
      <c r="D67" s="107"/>
      <c r="E67" s="107"/>
      <c r="F67" s="107"/>
      <c r="G67" s="107"/>
      <c r="H67" s="107"/>
    </row>
    <row r="68" spans="1:8" x14ac:dyDescent="0.25">
      <c r="A68" s="107"/>
      <c r="B68" s="116">
        <v>41081</v>
      </c>
      <c r="C68" s="110">
        <v>600</v>
      </c>
      <c r="D68" s="107"/>
      <c r="E68" s="107" t="s">
        <v>64</v>
      </c>
      <c r="F68" s="107"/>
      <c r="G68" s="107"/>
      <c r="H68" s="107"/>
    </row>
    <row r="69" spans="1:8" x14ac:dyDescent="0.25">
      <c r="A69" s="107"/>
      <c r="B69" s="109">
        <v>41327</v>
      </c>
      <c r="C69" s="110">
        <v>600</v>
      </c>
      <c r="D69" s="107"/>
      <c r="E69" s="107" t="s">
        <v>64</v>
      </c>
      <c r="F69" s="107"/>
      <c r="G69" s="107"/>
      <c r="H69" s="107"/>
    </row>
    <row r="70" spans="1:8" x14ac:dyDescent="0.25">
      <c r="A70" s="107"/>
      <c r="B70" s="109">
        <v>41792</v>
      </c>
      <c r="C70" s="110">
        <v>2100</v>
      </c>
      <c r="D70" s="107"/>
      <c r="E70" s="107" t="s">
        <v>70</v>
      </c>
      <c r="F70" s="107"/>
      <c r="G70" s="107"/>
      <c r="H70" s="107"/>
    </row>
    <row r="71" spans="1:8" x14ac:dyDescent="0.25">
      <c r="A71" s="107"/>
      <c r="B71" s="109">
        <v>42108</v>
      </c>
      <c r="C71" s="110">
        <v>600</v>
      </c>
      <c r="D71" s="107"/>
      <c r="E71" s="107" t="s">
        <v>64</v>
      </c>
      <c r="F71" s="107"/>
      <c r="G71" s="107"/>
      <c r="H71" s="107"/>
    </row>
    <row r="72" spans="1:8" x14ac:dyDescent="0.25">
      <c r="A72" s="107"/>
      <c r="B72" s="109">
        <v>42370</v>
      </c>
      <c r="C72" s="118">
        <f>D35</f>
        <v>630</v>
      </c>
      <c r="D72" s="107"/>
      <c r="E72" s="107" t="s">
        <v>112</v>
      </c>
      <c r="F72" s="107"/>
      <c r="G72" s="107"/>
      <c r="H72" s="107"/>
    </row>
    <row r="73" spans="1:8" x14ac:dyDescent="0.25">
      <c r="A73" s="107"/>
      <c r="B73" s="107"/>
      <c r="C73" s="107"/>
      <c r="D73" s="115">
        <f>SUM(C68:C72)</f>
        <v>4530</v>
      </c>
      <c r="E73" s="107"/>
      <c r="F73" s="107"/>
      <c r="G73" s="107"/>
      <c r="H73" s="107"/>
    </row>
    <row r="74" spans="1:8" x14ac:dyDescent="0.25">
      <c r="A74" s="107"/>
      <c r="B74" s="107"/>
      <c r="C74" s="107"/>
      <c r="D74" s="107"/>
      <c r="E74" s="107"/>
      <c r="F74" s="107"/>
      <c r="G74" s="107"/>
      <c r="H74" s="107"/>
    </row>
    <row r="75" spans="1:8" ht="15.75" thickBot="1" x14ac:dyDescent="0.3">
      <c r="A75" s="107"/>
      <c r="B75" s="107"/>
      <c r="C75" s="107"/>
      <c r="D75" s="117">
        <f>SUM(D51:D73)</f>
        <v>54084.17</v>
      </c>
      <c r="E75" s="111"/>
      <c r="F75" s="107"/>
      <c r="G75" s="107"/>
      <c r="H75" s="107"/>
    </row>
  </sheetData>
  <pageMargins left="0.25" right="0.25" top="0.47479166666666667" bottom="0.75" header="0.17020833333333332" footer="0.3"/>
  <pageSetup paperSize="9" scale="86" orientation="landscape" horizontalDpi="4294967293" verticalDpi="0" r:id="rId1"/>
  <headerFooter>
    <oddHeader>&amp;C&amp;"-,Bold"Preston Mansions Budget for 2016</oddHeader>
    <oddFooter xml:space="preserve">&amp;C&amp;"-,Bold"&amp;P of &amp;N&amp;R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Q64"/>
  <sheetViews>
    <sheetView workbookViewId="0">
      <selection activeCell="N11" sqref="N11"/>
    </sheetView>
  </sheetViews>
  <sheetFormatPr defaultColWidth="8.85546875" defaultRowHeight="15" x14ac:dyDescent="0.25"/>
  <cols>
    <col min="1" max="1" width="43.140625" style="4" customWidth="1"/>
    <col min="2" max="2" width="9.85546875" style="4" customWidth="1"/>
    <col min="3" max="3" width="9.42578125" style="87" bestFit="1" customWidth="1"/>
    <col min="4" max="4" width="9.7109375" style="95" bestFit="1" customWidth="1"/>
    <col min="5" max="5" width="8.85546875" style="4" bestFit="1" customWidth="1"/>
    <col min="7" max="9" width="7.85546875" style="4" bestFit="1" customWidth="1"/>
    <col min="10" max="10" width="8.85546875" style="4"/>
    <col min="11" max="12" width="8.85546875" style="25"/>
    <col min="13" max="13" width="9.85546875" style="4" customWidth="1"/>
    <col min="14" max="14" width="9" style="4" customWidth="1"/>
    <col min="15" max="16384" width="8.85546875" style="4"/>
  </cols>
  <sheetData>
    <row r="1" spans="1:17" ht="42.75" customHeight="1" x14ac:dyDescent="0.15">
      <c r="B1" s="124" t="s">
        <v>79</v>
      </c>
      <c r="C1" s="126" t="s">
        <v>72</v>
      </c>
      <c r="D1" s="125" t="s">
        <v>86</v>
      </c>
      <c r="E1" s="124" t="s">
        <v>55</v>
      </c>
      <c r="F1" s="124" t="s">
        <v>54</v>
      </c>
      <c r="G1" s="124" t="s">
        <v>2</v>
      </c>
      <c r="H1" s="124" t="s">
        <v>0</v>
      </c>
      <c r="I1" s="124" t="s">
        <v>1</v>
      </c>
      <c r="M1" s="19"/>
      <c r="N1" s="19"/>
      <c r="O1" s="19"/>
      <c r="P1" s="19"/>
    </row>
    <row r="2" spans="1:17" ht="15" customHeight="1" x14ac:dyDescent="0.15">
      <c r="A2" s="3" t="s">
        <v>62</v>
      </c>
      <c r="B2" s="48"/>
      <c r="C2" s="86"/>
      <c r="D2" s="94"/>
      <c r="E2" s="48"/>
      <c r="F2" s="20"/>
      <c r="G2" s="20"/>
      <c r="H2" s="20"/>
      <c r="I2" s="20"/>
      <c r="M2" s="19"/>
      <c r="N2" s="19"/>
      <c r="O2" s="19"/>
      <c r="P2" s="19"/>
    </row>
    <row r="3" spans="1:17" ht="11.1" x14ac:dyDescent="0.15">
      <c r="A3" s="4" t="s">
        <v>82</v>
      </c>
      <c r="B3" s="7"/>
      <c r="C3" s="87">
        <f>'2016 Budget Draft'!D3</f>
        <v>100</v>
      </c>
      <c r="D3" s="95">
        <v>3.4</v>
      </c>
      <c r="E3" s="3">
        <v>0</v>
      </c>
      <c r="F3" s="8">
        <v>0</v>
      </c>
      <c r="G3" s="8">
        <v>0</v>
      </c>
    </row>
    <row r="4" spans="1:17" ht="11.1" x14ac:dyDescent="0.15">
      <c r="A4" s="58" t="s">
        <v>18</v>
      </c>
      <c r="B4" s="59">
        <f t="shared" ref="B4:B39" si="0">(C4-F4)/F4</f>
        <v>0.18181818181818182</v>
      </c>
      <c r="C4" s="103">
        <f>'2016 Budget Draft'!D4</f>
        <v>13000</v>
      </c>
      <c r="D4" s="96">
        <v>12226</v>
      </c>
      <c r="E4" s="23">
        <f t="shared" ref="E4:E11" si="1">(F4-G4)/G4</f>
        <v>4.7619047619047616E-2</v>
      </c>
      <c r="F4" s="24">
        <v>11000</v>
      </c>
      <c r="G4" s="24">
        <v>10500</v>
      </c>
      <c r="H4" s="33">
        <v>9650</v>
      </c>
      <c r="I4" s="33">
        <v>9200</v>
      </c>
    </row>
    <row r="5" spans="1:17" ht="11.1" x14ac:dyDescent="0.15">
      <c r="A5" s="22" t="s">
        <v>19</v>
      </c>
      <c r="B5" s="7">
        <f t="shared" si="0"/>
        <v>0</v>
      </c>
      <c r="C5" s="87">
        <f>'2016 Budget Draft'!D5</f>
        <v>1000</v>
      </c>
      <c r="D5" s="96">
        <v>863</v>
      </c>
      <c r="E5" s="23">
        <f t="shared" si="1"/>
        <v>1</v>
      </c>
      <c r="F5" s="24">
        <v>1000</v>
      </c>
      <c r="G5" s="24">
        <v>500</v>
      </c>
      <c r="H5" s="24">
        <v>500</v>
      </c>
      <c r="I5" s="24">
        <v>500</v>
      </c>
    </row>
    <row r="6" spans="1:17" ht="11.1" x14ac:dyDescent="0.15">
      <c r="A6" s="58" t="s">
        <v>20</v>
      </c>
      <c r="B6" s="59">
        <f t="shared" si="0"/>
        <v>0.23015873015873015</v>
      </c>
      <c r="C6" s="103">
        <f>'2016 Budget Draft'!D6</f>
        <v>3100</v>
      </c>
      <c r="D6" s="96">
        <v>2980</v>
      </c>
      <c r="E6" s="23">
        <f t="shared" si="1"/>
        <v>0.05</v>
      </c>
      <c r="F6" s="24">
        <v>2520</v>
      </c>
      <c r="G6" s="24">
        <v>2400</v>
      </c>
      <c r="H6" s="24">
        <v>2200</v>
      </c>
      <c r="I6" s="24">
        <v>2000</v>
      </c>
    </row>
    <row r="7" spans="1:17" ht="11.1" x14ac:dyDescent="0.15">
      <c r="A7" s="58" t="s">
        <v>21</v>
      </c>
      <c r="B7" s="59">
        <f t="shared" si="0"/>
        <v>0.05</v>
      </c>
      <c r="C7" s="103">
        <f>'2016 Budget Draft'!D7</f>
        <v>6678</v>
      </c>
      <c r="D7" s="96">
        <v>7673</v>
      </c>
      <c r="E7" s="45">
        <f t="shared" si="1"/>
        <v>0</v>
      </c>
      <c r="F7" s="8">
        <v>6360</v>
      </c>
      <c r="G7" s="24">
        <v>6360</v>
      </c>
      <c r="H7" s="24">
        <v>6360</v>
      </c>
      <c r="I7" s="24">
        <v>6180</v>
      </c>
    </row>
    <row r="8" spans="1:17" ht="11.1" x14ac:dyDescent="0.15">
      <c r="A8" s="22" t="s">
        <v>22</v>
      </c>
      <c r="B8" s="7">
        <f t="shared" si="0"/>
        <v>0</v>
      </c>
      <c r="C8" s="87">
        <f>'2016 Budget Draft'!D8</f>
        <v>3000</v>
      </c>
      <c r="D8" s="96">
        <v>2824</v>
      </c>
      <c r="E8" s="45">
        <f t="shared" si="1"/>
        <v>0</v>
      </c>
      <c r="F8" s="8">
        <v>3000</v>
      </c>
      <c r="G8" s="24">
        <v>3000</v>
      </c>
      <c r="H8" s="24">
        <v>2500</v>
      </c>
      <c r="I8" s="24">
        <v>3500</v>
      </c>
      <c r="J8" s="25"/>
      <c r="M8" s="25"/>
    </row>
    <row r="9" spans="1:17" ht="11.1" x14ac:dyDescent="0.15">
      <c r="A9" s="58" t="s">
        <v>23</v>
      </c>
      <c r="B9" s="59">
        <f t="shared" si="0"/>
        <v>0.23015873015873015</v>
      </c>
      <c r="C9" s="103">
        <f>'2016 Budget Draft'!D9</f>
        <v>15500</v>
      </c>
      <c r="D9" s="96">
        <v>17526</v>
      </c>
      <c r="E9" s="45">
        <f t="shared" si="1"/>
        <v>0.05</v>
      </c>
      <c r="F9" s="8">
        <v>12600</v>
      </c>
      <c r="G9" s="24">
        <v>12000</v>
      </c>
      <c r="H9" s="24">
        <v>11500</v>
      </c>
      <c r="I9" s="24">
        <v>11000</v>
      </c>
    </row>
    <row r="10" spans="1:17" ht="11.1" x14ac:dyDescent="0.15">
      <c r="A10" s="22" t="s">
        <v>24</v>
      </c>
      <c r="B10" s="7">
        <f t="shared" si="0"/>
        <v>0</v>
      </c>
      <c r="C10" s="87">
        <f>'2016 Budget Draft'!D10</f>
        <v>430</v>
      </c>
      <c r="D10" s="96">
        <v>420</v>
      </c>
      <c r="E10" s="45">
        <f t="shared" si="1"/>
        <v>0</v>
      </c>
      <c r="F10" s="8">
        <v>430</v>
      </c>
      <c r="G10" s="24">
        <v>430</v>
      </c>
      <c r="H10" s="24">
        <v>400</v>
      </c>
      <c r="I10" s="24">
        <v>400</v>
      </c>
    </row>
    <row r="11" spans="1:17" ht="11.1" x14ac:dyDescent="0.15">
      <c r="A11" s="22" t="s">
        <v>25</v>
      </c>
      <c r="B11" s="7">
        <f t="shared" si="0"/>
        <v>0.05</v>
      </c>
      <c r="C11" s="87">
        <f>'2016 Budget Draft'!D11</f>
        <v>630</v>
      </c>
      <c r="D11" s="96">
        <v>612</v>
      </c>
      <c r="E11" s="23">
        <f t="shared" si="1"/>
        <v>1</v>
      </c>
      <c r="F11" s="24">
        <v>600</v>
      </c>
      <c r="G11" s="24">
        <v>300</v>
      </c>
      <c r="H11" s="24">
        <v>300</v>
      </c>
      <c r="I11" s="24">
        <v>300</v>
      </c>
      <c r="J11" s="22"/>
      <c r="M11" s="22"/>
    </row>
    <row r="12" spans="1:17" ht="11.1" x14ac:dyDescent="0.15">
      <c r="A12" s="22" t="s">
        <v>26</v>
      </c>
      <c r="B12" s="7"/>
      <c r="C12" s="87">
        <f>'2016 Budget Draft'!D12</f>
        <v>0</v>
      </c>
      <c r="D12" s="96">
        <v>0</v>
      </c>
      <c r="E12" s="23">
        <v>0</v>
      </c>
      <c r="F12" s="24">
        <v>0</v>
      </c>
      <c r="G12" s="24">
        <v>0</v>
      </c>
      <c r="H12" s="24">
        <v>0</v>
      </c>
      <c r="I12" s="24">
        <v>200</v>
      </c>
      <c r="J12" s="22"/>
      <c r="M12" s="8"/>
      <c r="P12" s="8"/>
    </row>
    <row r="13" spans="1:17" ht="11.1" x14ac:dyDescent="0.15">
      <c r="A13" s="71" t="s">
        <v>27</v>
      </c>
      <c r="B13" s="72">
        <f t="shared" si="0"/>
        <v>-5.3030303030303032E-2</v>
      </c>
      <c r="C13" s="104">
        <f>'2016 Budget Draft'!D13</f>
        <v>1500</v>
      </c>
      <c r="D13" s="96">
        <v>990</v>
      </c>
      <c r="E13" s="23">
        <f>(F13-G13)/G13</f>
        <v>1.0980132450331126</v>
      </c>
      <c r="F13" s="24">
        <v>1584</v>
      </c>
      <c r="G13" s="24">
        <v>755</v>
      </c>
      <c r="H13" s="24">
        <v>500</v>
      </c>
      <c r="I13" s="24">
        <v>400</v>
      </c>
      <c r="J13" s="22"/>
      <c r="M13" s="22"/>
    </row>
    <row r="14" spans="1:17" ht="11.1" x14ac:dyDescent="0.15">
      <c r="A14" s="58" t="s">
        <v>28</v>
      </c>
      <c r="B14" s="59">
        <f t="shared" si="0"/>
        <v>0.05</v>
      </c>
      <c r="C14" s="103">
        <f>'2016 Budget Draft'!D14</f>
        <v>4200</v>
      </c>
      <c r="D14" s="97">
        <v>4000</v>
      </c>
      <c r="E14" s="45">
        <f>(F14-G14)/G14</f>
        <v>0</v>
      </c>
      <c r="F14" s="33">
        <v>4000</v>
      </c>
      <c r="G14" s="33">
        <v>4000</v>
      </c>
      <c r="H14" s="33">
        <v>3500</v>
      </c>
      <c r="I14" s="33">
        <v>3500</v>
      </c>
      <c r="J14" s="22"/>
      <c r="M14" s="24"/>
      <c r="N14" s="8"/>
      <c r="O14" s="8"/>
      <c r="P14" s="8"/>
      <c r="Q14" s="8"/>
    </row>
    <row r="15" spans="1:17" ht="11.1" x14ac:dyDescent="0.15">
      <c r="A15" s="22" t="s">
        <v>29</v>
      </c>
      <c r="B15" s="7">
        <f t="shared" si="0"/>
        <v>0</v>
      </c>
      <c r="C15" s="87">
        <f>'2016 Budget Draft'!D15</f>
        <v>500</v>
      </c>
      <c r="D15" s="96">
        <v>360</v>
      </c>
      <c r="E15" s="45">
        <f>(F15-G15)/G15</f>
        <v>0</v>
      </c>
      <c r="F15" s="8">
        <v>500</v>
      </c>
      <c r="G15" s="24">
        <v>500</v>
      </c>
      <c r="H15" s="24">
        <v>500</v>
      </c>
      <c r="I15" s="24">
        <v>500</v>
      </c>
      <c r="J15" s="22"/>
      <c r="M15" s="22"/>
    </row>
    <row r="16" spans="1:17" ht="11.1" x14ac:dyDescent="0.15">
      <c r="A16" s="70" t="s">
        <v>30</v>
      </c>
      <c r="B16" s="59">
        <f t="shared" si="0"/>
        <v>0.35</v>
      </c>
      <c r="C16" s="103">
        <f>'2016 Budget Draft'!D16</f>
        <v>6750</v>
      </c>
      <c r="D16" s="98">
        <v>6744</v>
      </c>
      <c r="E16" s="45">
        <f>(F16-G16)/G16</f>
        <v>0</v>
      </c>
      <c r="F16" s="33">
        <v>5000</v>
      </c>
      <c r="G16" s="47">
        <v>5000</v>
      </c>
      <c r="H16" s="47">
        <v>3000</v>
      </c>
      <c r="I16" s="47">
        <v>1500</v>
      </c>
      <c r="J16" s="26"/>
      <c r="K16" s="46"/>
      <c r="L16" s="46"/>
      <c r="M16" s="26"/>
    </row>
    <row r="17" spans="1:17" ht="11.1" x14ac:dyDescent="0.15">
      <c r="A17" s="26" t="s">
        <v>57</v>
      </c>
      <c r="B17" s="7"/>
      <c r="C17" s="90"/>
      <c r="D17" s="99"/>
      <c r="E17" s="23"/>
      <c r="F17" s="24">
        <v>8964</v>
      </c>
      <c r="G17" s="65">
        <v>0</v>
      </c>
      <c r="H17" s="47"/>
      <c r="I17" s="47"/>
      <c r="J17" s="26"/>
      <c r="K17" s="46"/>
      <c r="L17" s="46"/>
      <c r="M17" s="26"/>
    </row>
    <row r="18" spans="1:17" ht="11.1" x14ac:dyDescent="0.15">
      <c r="A18" s="73" t="s">
        <v>42</v>
      </c>
      <c r="B18" s="74">
        <f t="shared" si="0"/>
        <v>-2.0327322005629103E-2</v>
      </c>
      <c r="C18" s="106">
        <f>SUM(C3:C17)</f>
        <v>56388</v>
      </c>
      <c r="D18" s="100">
        <f>SUM(D3:D17)</f>
        <v>57221.4</v>
      </c>
      <c r="E18" s="28">
        <f>(F18-G18)/G18</f>
        <v>0.25823587277298066</v>
      </c>
      <c r="F18" s="29">
        <f>SUM(F3:F17)</f>
        <v>57558</v>
      </c>
      <c r="G18" s="29">
        <f>SUM(G4:G16)</f>
        <v>45745</v>
      </c>
      <c r="H18" s="29">
        <f>SUM(H4:H16)</f>
        <v>40910</v>
      </c>
      <c r="I18" s="29">
        <f>SUM(I4:I16)</f>
        <v>39180</v>
      </c>
      <c r="J18" s="30"/>
      <c r="K18" s="42"/>
      <c r="L18" s="42"/>
      <c r="M18" s="41"/>
    </row>
    <row r="19" spans="1:17" x14ac:dyDescent="0.2">
      <c r="A19" s="22"/>
      <c r="B19" s="7"/>
      <c r="C19" s="88"/>
      <c r="D19" s="96"/>
      <c r="E19" s="22"/>
      <c r="F19" s="66"/>
      <c r="G19" s="24"/>
    </row>
    <row r="20" spans="1:17" x14ac:dyDescent="0.2">
      <c r="A20" s="34" t="s">
        <v>43</v>
      </c>
      <c r="B20" s="7"/>
      <c r="C20" s="91"/>
      <c r="D20" s="101"/>
      <c r="E20" s="34"/>
      <c r="F20" s="66"/>
      <c r="G20" s="24"/>
      <c r="J20" s="22"/>
      <c r="M20" s="22"/>
    </row>
    <row r="21" spans="1:17" ht="11.1" x14ac:dyDescent="0.15">
      <c r="A21" s="58" t="s">
        <v>31</v>
      </c>
      <c r="B21" s="59">
        <f t="shared" si="0"/>
        <v>0.4</v>
      </c>
      <c r="C21" s="103">
        <f>'2016 Budget Draft'!D21</f>
        <v>3500</v>
      </c>
      <c r="D21" s="96">
        <v>5103</v>
      </c>
      <c r="E21" s="23">
        <f>(F21-G21)/G21</f>
        <v>0</v>
      </c>
      <c r="F21" s="24">
        <v>2500</v>
      </c>
      <c r="G21" s="24">
        <v>2500</v>
      </c>
      <c r="H21" s="24">
        <v>2500</v>
      </c>
      <c r="I21" s="24">
        <v>1800</v>
      </c>
      <c r="J21" s="22"/>
      <c r="M21" s="22"/>
    </row>
    <row r="22" spans="1:17" ht="11.1" x14ac:dyDescent="0.15">
      <c r="A22" s="58" t="s">
        <v>32</v>
      </c>
      <c r="B22" s="59">
        <f t="shared" si="0"/>
        <v>0.23015873015873015</v>
      </c>
      <c r="C22" s="103">
        <f>'2016 Budget Draft'!D22</f>
        <v>3100</v>
      </c>
      <c r="D22" s="96">
        <v>2980</v>
      </c>
      <c r="E22" s="23">
        <f>(F22-G22)/G22</f>
        <v>0.05</v>
      </c>
      <c r="F22" s="24">
        <v>2520</v>
      </c>
      <c r="G22" s="24">
        <v>2400</v>
      </c>
      <c r="H22" s="24">
        <v>2200</v>
      </c>
      <c r="I22" s="24">
        <v>2000</v>
      </c>
      <c r="J22" s="22"/>
      <c r="M22" s="22"/>
    </row>
    <row r="23" spans="1:17" ht="11.1" x14ac:dyDescent="0.15">
      <c r="A23" s="71" t="s">
        <v>56</v>
      </c>
      <c r="B23" s="72">
        <f t="shared" si="0"/>
        <v>-0.16666666666666666</v>
      </c>
      <c r="C23" s="104">
        <f>'2016 Budget Draft'!D23</f>
        <v>500</v>
      </c>
      <c r="D23" s="96">
        <v>480</v>
      </c>
      <c r="E23" s="23"/>
      <c r="F23" s="24">
        <v>600</v>
      </c>
      <c r="G23" s="24">
        <v>0</v>
      </c>
      <c r="H23" s="24"/>
      <c r="I23" s="24"/>
      <c r="J23" s="22"/>
      <c r="M23" s="22"/>
    </row>
    <row r="24" spans="1:17" ht="11.1" x14ac:dyDescent="0.15">
      <c r="A24" s="22" t="s">
        <v>33</v>
      </c>
      <c r="B24" s="7"/>
      <c r="C24" s="88">
        <f>'2016 Budget Draft'!D24</f>
        <v>0</v>
      </c>
      <c r="D24" s="96">
        <v>0</v>
      </c>
      <c r="E24" s="23">
        <f>(F24-G24)/G24</f>
        <v>-1</v>
      </c>
      <c r="F24" s="24">
        <v>0</v>
      </c>
      <c r="G24" s="24">
        <v>1000</v>
      </c>
      <c r="H24" s="24">
        <v>1000</v>
      </c>
      <c r="I24" s="24">
        <v>1000</v>
      </c>
      <c r="J24" s="22"/>
      <c r="M24" s="22"/>
    </row>
    <row r="25" spans="1:17" ht="11.1" x14ac:dyDescent="0.15">
      <c r="A25" s="58" t="s">
        <v>34</v>
      </c>
      <c r="B25" s="59">
        <f t="shared" si="0"/>
        <v>0.375</v>
      </c>
      <c r="C25" s="103">
        <f>'2016 Budget Draft'!D25</f>
        <v>5500</v>
      </c>
      <c r="D25" s="96">
        <v>4698</v>
      </c>
      <c r="E25" s="23">
        <f>(F25-G25)/G25</f>
        <v>-0.5</v>
      </c>
      <c r="F25" s="24">
        <v>4000</v>
      </c>
      <c r="G25" s="24">
        <v>8000</v>
      </c>
      <c r="H25" s="24">
        <v>8000</v>
      </c>
      <c r="I25" s="24">
        <v>7500</v>
      </c>
      <c r="J25" s="22"/>
      <c r="M25" s="22"/>
    </row>
    <row r="26" spans="1:17" ht="11.1" x14ac:dyDescent="0.15">
      <c r="A26" s="58" t="s">
        <v>30</v>
      </c>
      <c r="B26" s="59">
        <f t="shared" si="0"/>
        <v>-8.3333333333333329E-2</v>
      </c>
      <c r="C26" s="103">
        <f>'2016 Budget Draft'!D26</f>
        <v>2750</v>
      </c>
      <c r="D26" s="96">
        <v>1754</v>
      </c>
      <c r="E26" s="23">
        <f>(F26-G26)/G26</f>
        <v>0.5</v>
      </c>
      <c r="F26" s="24">
        <v>3000</v>
      </c>
      <c r="G26" s="24">
        <v>2000</v>
      </c>
      <c r="H26" s="33">
        <v>1500</v>
      </c>
      <c r="I26" s="33">
        <v>1000</v>
      </c>
      <c r="J26" s="22"/>
      <c r="M26" s="22"/>
    </row>
    <row r="27" spans="1:17" ht="11.1" x14ac:dyDescent="0.15">
      <c r="A27" s="71" t="s">
        <v>35</v>
      </c>
      <c r="B27" s="72">
        <f t="shared" si="0"/>
        <v>-0.2</v>
      </c>
      <c r="C27" s="104">
        <f>'2016 Budget Draft'!D27</f>
        <v>2000</v>
      </c>
      <c r="D27" s="96">
        <v>299</v>
      </c>
      <c r="E27" s="23">
        <f>(F27-G27)/G27</f>
        <v>-0.10714285714285714</v>
      </c>
      <c r="F27" s="24">
        <v>2500</v>
      </c>
      <c r="G27" s="24">
        <v>2800</v>
      </c>
      <c r="H27" s="24">
        <v>2500</v>
      </c>
      <c r="I27" s="24">
        <v>2200</v>
      </c>
      <c r="J27" s="22"/>
      <c r="M27" s="22"/>
    </row>
    <row r="28" spans="1:17" ht="11.1" x14ac:dyDescent="0.15">
      <c r="A28" s="58" t="s">
        <v>28</v>
      </c>
      <c r="B28" s="59">
        <f t="shared" si="0"/>
        <v>0.05</v>
      </c>
      <c r="C28" s="103">
        <f>'2016 Budget Draft'!D28</f>
        <v>7350</v>
      </c>
      <c r="D28" s="96">
        <v>7000</v>
      </c>
      <c r="E28" s="23">
        <f>(F28-G28)/G28</f>
        <v>0</v>
      </c>
      <c r="F28" s="24">
        <v>7000</v>
      </c>
      <c r="G28" s="24">
        <v>7000</v>
      </c>
      <c r="H28" s="33">
        <v>6500</v>
      </c>
      <c r="I28" s="33">
        <v>6500</v>
      </c>
      <c r="J28" s="22"/>
      <c r="M28" s="24"/>
      <c r="N28" s="8"/>
      <c r="O28" s="8"/>
      <c r="P28" s="8"/>
      <c r="Q28" s="8"/>
    </row>
    <row r="29" spans="1:17" ht="11.1" x14ac:dyDescent="0.15">
      <c r="A29" s="22" t="s">
        <v>36</v>
      </c>
      <c r="B29" s="7"/>
      <c r="C29" s="88">
        <f>'2016 Budget Draft'!D29</f>
        <v>0</v>
      </c>
      <c r="D29" s="96">
        <v>0</v>
      </c>
      <c r="E29" s="23">
        <v>0</v>
      </c>
      <c r="F29" s="24">
        <v>0</v>
      </c>
      <c r="G29" s="24">
        <v>0</v>
      </c>
      <c r="H29" s="24">
        <v>1488</v>
      </c>
      <c r="I29" s="24">
        <v>0</v>
      </c>
      <c r="J29" s="22"/>
      <c r="M29" s="22"/>
    </row>
    <row r="30" spans="1:17" ht="11.1" x14ac:dyDescent="0.15">
      <c r="A30" s="61" t="s">
        <v>44</v>
      </c>
      <c r="B30" s="68">
        <f t="shared" si="0"/>
        <v>0.1166365280289331</v>
      </c>
      <c r="C30" s="92">
        <f>SUM(C21:C29)</f>
        <v>24700</v>
      </c>
      <c r="D30" s="100">
        <f>SUM(D21:D29)</f>
        <v>22314</v>
      </c>
      <c r="E30" s="28">
        <f>(F30-G30)/G30</f>
        <v>-0.13929961089494164</v>
      </c>
      <c r="F30" s="29">
        <f>SUM(F21:F29)</f>
        <v>22120</v>
      </c>
      <c r="G30" s="29">
        <f>SUM(G21:G29)</f>
        <v>25700</v>
      </c>
      <c r="H30" s="32">
        <f>SUM(H21:H29)</f>
        <v>25688</v>
      </c>
      <c r="I30" s="32">
        <v>22000</v>
      </c>
      <c r="J30" s="31"/>
      <c r="K30" s="42"/>
      <c r="L30" s="42"/>
      <c r="M30" s="42"/>
    </row>
    <row r="31" spans="1:17" x14ac:dyDescent="0.2">
      <c r="A31" s="22"/>
      <c r="B31" s="7"/>
      <c r="C31" s="88"/>
      <c r="D31" s="96"/>
      <c r="E31" s="22"/>
      <c r="F31" s="66"/>
      <c r="G31" s="24"/>
      <c r="H31" s="25"/>
      <c r="I31" s="25"/>
      <c r="J31" s="25"/>
      <c r="M31" s="25"/>
    </row>
    <row r="32" spans="1:17" x14ac:dyDescent="0.2">
      <c r="A32" s="34" t="s">
        <v>45</v>
      </c>
      <c r="B32" s="7"/>
      <c r="C32" s="91"/>
      <c r="D32" s="101"/>
      <c r="E32" s="34"/>
      <c r="F32" s="66"/>
      <c r="G32" s="24"/>
      <c r="H32" s="22"/>
      <c r="I32" s="22"/>
      <c r="J32" s="22"/>
      <c r="M32" s="22"/>
    </row>
    <row r="33" spans="1:16" ht="11.1" x14ac:dyDescent="0.15">
      <c r="A33" s="58" t="s">
        <v>39</v>
      </c>
      <c r="B33" s="59">
        <f t="shared" si="0"/>
        <v>0.14285714285714285</v>
      </c>
      <c r="C33" s="58">
        <f>'2016 Budget Draft'!D33</f>
        <v>1560</v>
      </c>
      <c r="D33" s="96">
        <v>1490</v>
      </c>
      <c r="E33" s="23">
        <f>(F33-G33)/G33</f>
        <v>0.05</v>
      </c>
      <c r="F33" s="24">
        <v>1365</v>
      </c>
      <c r="G33" s="24">
        <v>1300</v>
      </c>
      <c r="H33" s="24">
        <v>1200</v>
      </c>
      <c r="I33" s="24">
        <v>1000</v>
      </c>
      <c r="J33" s="22"/>
      <c r="M33" s="22"/>
    </row>
    <row r="34" spans="1:16" ht="11.1" x14ac:dyDescent="0.15">
      <c r="A34" s="71" t="s">
        <v>40</v>
      </c>
      <c r="B34" s="72">
        <f t="shared" si="0"/>
        <v>-0.12</v>
      </c>
      <c r="C34" s="71">
        <f>'2016 Budget Draft'!D34</f>
        <v>2200</v>
      </c>
      <c r="D34" s="96">
        <v>2612</v>
      </c>
      <c r="E34" s="23">
        <f>(F34-G34)/G34</f>
        <v>0.66666666666666663</v>
      </c>
      <c r="F34" s="24">
        <v>2500</v>
      </c>
      <c r="G34" s="24">
        <v>1500</v>
      </c>
      <c r="H34" s="33">
        <v>1250</v>
      </c>
      <c r="I34" s="33">
        <v>1000</v>
      </c>
      <c r="J34" s="22"/>
      <c r="M34" s="22"/>
    </row>
    <row r="35" spans="1:16" ht="11.1" x14ac:dyDescent="0.15">
      <c r="A35" s="58" t="s">
        <v>28</v>
      </c>
      <c r="B35" s="59">
        <f t="shared" si="0"/>
        <v>0.05</v>
      </c>
      <c r="C35" s="58">
        <f>'2016 Budget Draft'!D35</f>
        <v>630</v>
      </c>
      <c r="D35" s="96">
        <v>600</v>
      </c>
      <c r="E35" s="23">
        <f>(F35-G35)/G35</f>
        <v>0</v>
      </c>
      <c r="F35" s="24">
        <v>600</v>
      </c>
      <c r="G35" s="24">
        <v>600</v>
      </c>
      <c r="H35" s="24">
        <v>600</v>
      </c>
      <c r="I35" s="24">
        <v>600</v>
      </c>
      <c r="J35" s="22"/>
      <c r="M35" s="24"/>
      <c r="N35" s="8"/>
      <c r="O35" s="8"/>
      <c r="P35" s="8"/>
    </row>
    <row r="36" spans="1:16" ht="11.1" x14ac:dyDescent="0.15">
      <c r="A36" s="22" t="s">
        <v>36</v>
      </c>
      <c r="B36" s="7"/>
      <c r="C36" s="22">
        <f>'2016 Budget Draft'!D36</f>
        <v>0</v>
      </c>
      <c r="D36" s="96">
        <v>0</v>
      </c>
      <c r="E36" s="23">
        <v>0</v>
      </c>
      <c r="F36" s="24">
        <v>0</v>
      </c>
      <c r="G36" s="24">
        <v>0</v>
      </c>
      <c r="H36" s="24">
        <v>1487</v>
      </c>
      <c r="I36" s="24"/>
      <c r="J36" s="22"/>
      <c r="M36" s="22"/>
    </row>
    <row r="37" spans="1:16" ht="11.1" x14ac:dyDescent="0.15">
      <c r="A37" s="73" t="s">
        <v>46</v>
      </c>
      <c r="B37" s="74">
        <f t="shared" si="0"/>
        <v>-1.6797312430011199E-2</v>
      </c>
      <c r="C37" s="106">
        <f>SUM(C33:C36)</f>
        <v>4390</v>
      </c>
      <c r="D37" s="100">
        <f>SUM(D33:D36)</f>
        <v>4702</v>
      </c>
      <c r="E37" s="28">
        <f>(F37-G37)/G37</f>
        <v>0.31323529411764706</v>
      </c>
      <c r="F37" s="29">
        <f>SUM(F33:F36)</f>
        <v>4465</v>
      </c>
      <c r="G37" s="29">
        <f>SUM(G33:G36)</f>
        <v>3400</v>
      </c>
      <c r="H37" s="29">
        <f>SUM(H33:H36)</f>
        <v>4537</v>
      </c>
      <c r="I37" s="29">
        <f>SUM(I33:I36)</f>
        <v>2600</v>
      </c>
      <c r="J37" s="27"/>
      <c r="K37" s="42"/>
      <c r="L37" s="42"/>
      <c r="M37" s="43"/>
    </row>
    <row r="38" spans="1:16" x14ac:dyDescent="0.2">
      <c r="B38" s="7"/>
      <c r="G38" s="8"/>
    </row>
    <row r="39" spans="1:16" ht="12" thickBot="1" x14ac:dyDescent="0.2">
      <c r="A39" s="63" t="s">
        <v>47</v>
      </c>
      <c r="B39" s="69">
        <f t="shared" si="0"/>
        <v>1.5865847426405049E-2</v>
      </c>
      <c r="C39" s="93">
        <f>C37+C30+C18</f>
        <v>85478</v>
      </c>
      <c r="D39" s="102">
        <f>D37+D30+D18</f>
        <v>84237.4</v>
      </c>
      <c r="E39" s="121">
        <f>(F39-G39)/G39</f>
        <v>0.12423007548934464</v>
      </c>
      <c r="F39" s="122">
        <f>F37+F30+F18</f>
        <v>84143</v>
      </c>
      <c r="G39" s="122">
        <f>G37+G30+G18</f>
        <v>74845</v>
      </c>
      <c r="H39" s="35">
        <f>H37+H30+H18</f>
        <v>71135</v>
      </c>
      <c r="I39" s="35">
        <f>I37+I30+I18</f>
        <v>63780</v>
      </c>
      <c r="J39" s="16"/>
      <c r="K39" s="46"/>
      <c r="L39" s="46"/>
      <c r="M39" s="49"/>
      <c r="N39" s="36"/>
      <c r="O39" s="36"/>
      <c r="P39" s="36"/>
    </row>
    <row r="40" spans="1:16" ht="15.95" thickTop="1" x14ac:dyDescent="0.2">
      <c r="C40" s="89"/>
    </row>
    <row r="41" spans="1:16" ht="11.1" x14ac:dyDescent="0.15">
      <c r="C41" s="89"/>
      <c r="E41" s="58"/>
      <c r="F41" s="4" t="s">
        <v>58</v>
      </c>
      <c r="M41" s="8"/>
      <c r="N41" s="8"/>
      <c r="O41" s="8"/>
    </row>
    <row r="42" spans="1:16" ht="11.1" x14ac:dyDescent="0.15">
      <c r="E42" s="60"/>
      <c r="F42" s="4" t="s">
        <v>59</v>
      </c>
      <c r="H42" s="8"/>
      <c r="I42" s="8"/>
    </row>
    <row r="43" spans="1:16" ht="11.1" x14ac:dyDescent="0.15">
      <c r="E43" s="21"/>
      <c r="F43" s="4" t="s">
        <v>60</v>
      </c>
      <c r="H43" s="39"/>
      <c r="N43" s="8"/>
      <c r="O43" s="8"/>
    </row>
    <row r="44" spans="1:16" x14ac:dyDescent="0.2">
      <c r="H44" s="8"/>
      <c r="I44" s="8"/>
    </row>
    <row r="45" spans="1:16" x14ac:dyDescent="0.2">
      <c r="H45" s="8"/>
    </row>
    <row r="48" spans="1:16" x14ac:dyDescent="0.2">
      <c r="N48" s="8"/>
      <c r="P48" s="8"/>
    </row>
    <row r="51" spans="6:11" ht="11.25" x14ac:dyDescent="0.2">
      <c r="F51" s="4"/>
    </row>
    <row r="52" spans="6:11" ht="11.25" x14ac:dyDescent="0.2">
      <c r="F52" s="4"/>
    </row>
    <row r="53" spans="6:11" ht="11.25" x14ac:dyDescent="0.2">
      <c r="F53" s="4"/>
    </row>
    <row r="54" spans="6:11" ht="11.25" x14ac:dyDescent="0.2">
      <c r="F54" s="4"/>
    </row>
    <row r="55" spans="6:11" ht="11.25" x14ac:dyDescent="0.2">
      <c r="F55" s="8"/>
      <c r="G55" s="8"/>
    </row>
    <row r="64" spans="6:11" x14ac:dyDescent="0.25">
      <c r="K64" s="46"/>
    </row>
  </sheetData>
  <printOptions gridLines="1"/>
  <pageMargins left="0.23622047244094488" right="0.23622047244094488" top="0.15748031496062992" bottom="0.15748031496062992" header="0.31496062992125984" footer="0.31496062992125984"/>
  <pageSetup paperSize="9" orientation="landscape" horizontalDpi="4294967293" verticalDpi="0" r:id="rId1"/>
  <ignoredErrors>
    <ignoredError sqref="G18" formulaRange="1"/>
    <ignoredError sqref="E37 E39 E18 E3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D110"/>
  <sheetViews>
    <sheetView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J24" sqref="J24"/>
    </sheetView>
  </sheetViews>
  <sheetFormatPr defaultColWidth="8.85546875" defaultRowHeight="15" x14ac:dyDescent="0.25"/>
  <cols>
    <col min="1" max="1" width="12" customWidth="1"/>
    <col min="2" max="2" width="10.7109375" customWidth="1"/>
    <col min="10" max="10" width="8.85546875" style="37"/>
    <col min="19" max="19" width="10.28515625" bestFit="1" customWidth="1"/>
    <col min="20" max="20" width="12.42578125" bestFit="1" customWidth="1"/>
    <col min="22" max="22" width="10.140625" bestFit="1" customWidth="1"/>
    <col min="23" max="23" width="10.28515625" bestFit="1" customWidth="1"/>
    <col min="24" max="24" width="4.42578125" customWidth="1"/>
    <col min="27" max="27" width="11" bestFit="1" customWidth="1"/>
  </cols>
  <sheetData>
    <row r="1" spans="1:29" x14ac:dyDescent="0.25">
      <c r="A1" s="3" t="s">
        <v>90</v>
      </c>
      <c r="B1" s="3"/>
      <c r="C1" s="3"/>
      <c r="D1" s="3"/>
      <c r="E1" s="4"/>
      <c r="F1" s="4"/>
      <c r="G1" s="150">
        <v>2016</v>
      </c>
      <c r="H1" s="150"/>
      <c r="I1" s="150"/>
      <c r="J1" s="150"/>
      <c r="K1" s="50"/>
      <c r="L1" s="50"/>
      <c r="M1" s="50"/>
      <c r="N1" s="50"/>
      <c r="O1" s="4"/>
      <c r="P1" s="4"/>
      <c r="Q1" s="4"/>
      <c r="R1" s="4"/>
      <c r="S1" s="50"/>
      <c r="T1" s="50"/>
      <c r="U1" s="52" t="s">
        <v>13</v>
      </c>
      <c r="V1" s="50"/>
      <c r="W1" s="4"/>
      <c r="X1" s="4"/>
      <c r="Y1" s="4"/>
    </row>
    <row r="2" spans="1:29" x14ac:dyDescent="0.25">
      <c r="A2" s="4"/>
      <c r="B2" s="58"/>
      <c r="C2" s="4"/>
      <c r="D2" s="4"/>
      <c r="E2" s="4"/>
      <c r="F2" s="4"/>
      <c r="G2" s="150"/>
      <c r="H2" s="150"/>
      <c r="I2" s="150"/>
      <c r="J2" s="150"/>
      <c r="K2" s="149">
        <v>2015</v>
      </c>
      <c r="L2" s="149"/>
      <c r="M2" s="149"/>
      <c r="N2" s="149"/>
      <c r="O2" s="150">
        <v>2014</v>
      </c>
      <c r="P2" s="150"/>
      <c r="Q2" s="150"/>
      <c r="R2" s="150"/>
      <c r="S2" s="149">
        <v>2013</v>
      </c>
      <c r="T2" s="149"/>
      <c r="U2" s="149"/>
      <c r="V2" s="149"/>
      <c r="W2" s="4" t="s">
        <v>49</v>
      </c>
      <c r="X2" s="148" t="s">
        <v>14</v>
      </c>
      <c r="Y2" s="148"/>
      <c r="Z2" s="4" t="s">
        <v>50</v>
      </c>
      <c r="AA2" s="4" t="s">
        <v>51</v>
      </c>
      <c r="AB2" s="4"/>
      <c r="AC2" s="4" t="s">
        <v>16</v>
      </c>
    </row>
    <row r="3" spans="1:29" x14ac:dyDescent="0.2">
      <c r="A3" s="4" t="s">
        <v>3</v>
      </c>
      <c r="B3" s="58" t="s">
        <v>85</v>
      </c>
      <c r="C3" s="4" t="s">
        <v>4</v>
      </c>
      <c r="D3" s="4" t="s">
        <v>5</v>
      </c>
      <c r="E3" s="4" t="s">
        <v>6</v>
      </c>
      <c r="F3" s="4" t="s">
        <v>7</v>
      </c>
      <c r="G3" s="22" t="s">
        <v>8</v>
      </c>
      <c r="H3" s="22" t="s">
        <v>9</v>
      </c>
      <c r="I3" s="22" t="s">
        <v>10</v>
      </c>
      <c r="J3" s="119" t="s">
        <v>11</v>
      </c>
      <c r="K3" s="50" t="s">
        <v>8</v>
      </c>
      <c r="L3" s="50" t="s">
        <v>9</v>
      </c>
      <c r="M3" s="50" t="s">
        <v>10</v>
      </c>
      <c r="N3" s="53" t="s">
        <v>11</v>
      </c>
      <c r="O3" s="4" t="s">
        <v>8</v>
      </c>
      <c r="P3" s="4" t="s">
        <v>9</v>
      </c>
      <c r="Q3" s="4" t="s">
        <v>10</v>
      </c>
      <c r="R3" s="5" t="s">
        <v>11</v>
      </c>
      <c r="S3" s="50" t="s">
        <v>8</v>
      </c>
      <c r="T3" s="50" t="s">
        <v>9</v>
      </c>
      <c r="U3" s="50" t="s">
        <v>10</v>
      </c>
      <c r="V3" s="50" t="s">
        <v>11</v>
      </c>
      <c r="W3" s="4"/>
      <c r="X3" s="4" t="s">
        <v>15</v>
      </c>
      <c r="Y3" s="4" t="s">
        <v>17</v>
      </c>
      <c r="Z3" s="4"/>
      <c r="AA3" s="4"/>
      <c r="AB3" s="4"/>
      <c r="AC3" s="4"/>
    </row>
    <row r="4" spans="1:29" x14ac:dyDescent="0.2">
      <c r="A4" s="4">
        <v>1</v>
      </c>
      <c r="B4" s="59">
        <f>(J4-N4)/N4</f>
        <v>2.4492847088412584E-2</v>
      </c>
      <c r="C4" s="15">
        <v>85</v>
      </c>
      <c r="D4" s="4">
        <v>2.1497000000000002</v>
      </c>
      <c r="E4" s="4">
        <v>2.9792999999999998</v>
      </c>
      <c r="F4" s="4">
        <v>2.8572000000000002</v>
      </c>
      <c r="G4" s="96">
        <f>D4*'Comparisons 2012-2016'!C$18/100</f>
        <v>1212.1728360000002</v>
      </c>
      <c r="H4" s="96">
        <f>E4*'Comparisons 2012-2016'!C$30/100</f>
        <v>735.88709999999992</v>
      </c>
      <c r="I4" s="96">
        <f>F4*'Comparisons 2012-2016'!C$37/100</f>
        <v>125.43108000000001</v>
      </c>
      <c r="J4" s="120">
        <f>SUM(G4:I4)</f>
        <v>2073.4910159999999</v>
      </c>
      <c r="K4" s="50">
        <f>D4*'Comparisons 2012-2016'!F$18/100</f>
        <v>1237.3243260000002</v>
      </c>
      <c r="L4" s="50">
        <f>E4*'Comparisons 2012-2016'!F$30/100</f>
        <v>659.0211599999999</v>
      </c>
      <c r="M4" s="50">
        <f>F4*'Comparisons 2012-2016'!F$37/100</f>
        <v>127.57398000000001</v>
      </c>
      <c r="N4" s="55">
        <f>SUM(K4:M4)</f>
        <v>2023.9194660000003</v>
      </c>
      <c r="O4" s="4">
        <f>D4*'Comparisons 2012-2016'!G$18/100</f>
        <v>983.38026500000012</v>
      </c>
      <c r="P4" s="4">
        <f>E4*'Comparisons 2012-2016'!G$30/100</f>
        <v>765.68009999999992</v>
      </c>
      <c r="Q4" s="4">
        <f>F4*'Comparisons 2012-2016'!G$37/100</f>
        <v>97.144800000000018</v>
      </c>
      <c r="R4" s="6">
        <f t="shared" ref="R4:R54" si="0">SUM(O4:Q4)</f>
        <v>1846.2051650000001</v>
      </c>
      <c r="S4" s="50">
        <f>D4*'Comparisons 2012-2016'!H$18/100</f>
        <v>879.44227000000012</v>
      </c>
      <c r="T4" s="50">
        <f>E4*'Comparisons 2012-2016'!H$30/100</f>
        <v>765.32258399999989</v>
      </c>
      <c r="U4" s="50">
        <f>F4*'Comparisons 2012-2016'!H$37/100</f>
        <v>129.63116400000001</v>
      </c>
      <c r="V4" s="55">
        <f>SUM(S4:U4)</f>
        <v>1774.3960179999999</v>
      </c>
      <c r="W4" s="8">
        <f>R4-V4</f>
        <v>71.809147000000166</v>
      </c>
      <c r="X4" s="4">
        <f>E4*'Comparisons 2012-2016'!H$29/100</f>
        <v>44.331983999999991</v>
      </c>
      <c r="Y4" s="4">
        <f>F4*'Comparisons 2012-2016'!H$36/100</f>
        <v>42.486564000000001</v>
      </c>
      <c r="Z4" s="8">
        <f>R4-AA4</f>
        <v>158.62769500000013</v>
      </c>
      <c r="AA4" s="9">
        <f>V4-X4-Y4</f>
        <v>1687.5774699999999</v>
      </c>
      <c r="AB4" s="4"/>
      <c r="AC4" s="7">
        <f>(R4-AA4)/AA4</f>
        <v>9.3997281795898904E-2</v>
      </c>
    </row>
    <row r="5" spans="1:29" x14ac:dyDescent="0.2">
      <c r="A5" s="4">
        <v>2</v>
      </c>
      <c r="B5" s="59">
        <f t="shared" ref="B5:B55" si="1">(J5-N5)/N5</f>
        <v>2.4639036848837316E-2</v>
      </c>
      <c r="C5" s="4">
        <v>90</v>
      </c>
      <c r="D5" s="4">
        <v>2.2761</v>
      </c>
      <c r="E5" s="4">
        <v>3.1545999999999998</v>
      </c>
      <c r="F5" s="4">
        <v>2.8572000000000002</v>
      </c>
      <c r="G5" s="96">
        <f>D5*'Comparisons 2012-2016'!C$18/100</f>
        <v>1283.4472680000001</v>
      </c>
      <c r="H5" s="96">
        <f>E5*'Comparisons 2012-2016'!C$30/100</f>
        <v>779.18619999999999</v>
      </c>
      <c r="I5" s="96">
        <f>F5*'Comparisons 2012-2016'!C$37/100</f>
        <v>125.43108000000001</v>
      </c>
      <c r="J5" s="120">
        <f t="shared" ref="J5:J54" si="2">SUM(G5:I5)</f>
        <v>2188.0645479999998</v>
      </c>
      <c r="K5" s="50">
        <f>D5*'Comparisons 2012-2016'!F$18/100</f>
        <v>1310.077638</v>
      </c>
      <c r="L5" s="50">
        <f>E5*'Comparisons 2012-2016'!F$30/100</f>
        <v>697.79751999999996</v>
      </c>
      <c r="M5" s="50">
        <f>F5*'Comparisons 2012-2016'!F$37/100</f>
        <v>127.57398000000001</v>
      </c>
      <c r="N5" s="55">
        <f t="shared" ref="N5:N53" si="3">SUM(K5:M5)</f>
        <v>2135.4491379999999</v>
      </c>
      <c r="O5" s="4">
        <f>D5*'Comparisons 2012-2016'!G$18/100</f>
        <v>1041.201945</v>
      </c>
      <c r="P5" s="4">
        <f>E5*'Comparisons 2012-2016'!G$30/100</f>
        <v>810.73220000000003</v>
      </c>
      <c r="Q5" s="4">
        <f>F5*'Comparisons 2012-2016'!G$37/100</f>
        <v>97.144800000000018</v>
      </c>
      <c r="R5" s="6">
        <f t="shared" si="0"/>
        <v>1949.0789450000002</v>
      </c>
      <c r="S5" s="50">
        <f>D5*'Comparisons 2012-2016'!H$18/100</f>
        <v>931.15251000000001</v>
      </c>
      <c r="T5" s="50">
        <f>E5*'Comparisons 2012-2016'!H$30/100</f>
        <v>810.35364799999991</v>
      </c>
      <c r="U5" s="50">
        <f>F5*'Comparisons 2012-2016'!H$37/100</f>
        <v>129.63116400000001</v>
      </c>
      <c r="V5" s="55">
        <f t="shared" ref="V5:V54" si="4">SUM(S5:U5)</f>
        <v>1871.137322</v>
      </c>
      <c r="W5" s="8">
        <f t="shared" ref="W5:W33" si="5">R5-V5</f>
        <v>77.941623000000163</v>
      </c>
      <c r="X5" s="4">
        <f>E5*'Comparisons 2012-2016'!H$29/100</f>
        <v>46.940447999999996</v>
      </c>
      <c r="Y5" s="4">
        <f>F5*'Comparisons 2012-2016'!H$36/100</f>
        <v>42.486564000000001</v>
      </c>
      <c r="Z5" s="8">
        <f t="shared" ref="Z5:Z33" si="6">R5-AA5</f>
        <v>167.36863500000027</v>
      </c>
      <c r="AA5" s="9">
        <f t="shared" ref="AA5:AA54" si="7">V5-X5-Y5</f>
        <v>1781.7103099999999</v>
      </c>
      <c r="AB5" s="4"/>
      <c r="AC5" s="7">
        <f t="shared" ref="AC5:AC53" si="8">(R5-AA5)/AA5</f>
        <v>9.3937063764310977E-2</v>
      </c>
    </row>
    <row r="6" spans="1:29" x14ac:dyDescent="0.2">
      <c r="A6" s="4">
        <v>3</v>
      </c>
      <c r="B6" s="59">
        <f t="shared" si="1"/>
        <v>2.5130672344601885E-2</v>
      </c>
      <c r="C6" s="5">
        <v>112</v>
      </c>
      <c r="D6" s="4">
        <v>2.8325</v>
      </c>
      <c r="E6" s="4">
        <v>3.9257</v>
      </c>
      <c r="F6" s="4">
        <v>2.8572000000000002</v>
      </c>
      <c r="G6" s="96">
        <f>D6*'Comparisons 2012-2016'!C$18/100</f>
        <v>1597.1901</v>
      </c>
      <c r="H6" s="96">
        <f>E6*'Comparisons 2012-2016'!C$30/100</f>
        <v>969.64789999999994</v>
      </c>
      <c r="I6" s="96">
        <f>F6*'Comparisons 2012-2016'!C$37/100</f>
        <v>125.43108000000001</v>
      </c>
      <c r="J6" s="120">
        <f t="shared" si="2"/>
        <v>2692.2690799999996</v>
      </c>
      <c r="K6" s="50">
        <f>D6*'Comparisons 2012-2016'!F$18/100</f>
        <v>1630.33035</v>
      </c>
      <c r="L6" s="50">
        <f>E6*'Comparisons 2012-2016'!F$30/100</f>
        <v>868.36483999999996</v>
      </c>
      <c r="M6" s="50">
        <f>F6*'Comparisons 2012-2016'!F$37/100</f>
        <v>127.57398000000001</v>
      </c>
      <c r="N6" s="55">
        <f t="shared" si="3"/>
        <v>2626.26917</v>
      </c>
      <c r="O6" s="4">
        <f>D6*'Comparisons 2012-2016'!G$18/100</f>
        <v>1295.7271249999999</v>
      </c>
      <c r="P6" s="4">
        <f>E6*'Comparisons 2012-2016'!G$30/100</f>
        <v>1008.9049</v>
      </c>
      <c r="Q6" s="4">
        <f>F6*'Comparisons 2012-2016'!G$37/100</f>
        <v>97.144800000000018</v>
      </c>
      <c r="R6" s="6">
        <f t="shared" si="0"/>
        <v>2401.7768249999999</v>
      </c>
      <c r="S6" s="50">
        <f>D6*'Comparisons 2012-2016'!H$18/100</f>
        <v>1158.77575</v>
      </c>
      <c r="T6" s="50">
        <f>E6*'Comparisons 2012-2016'!H$30/100</f>
        <v>1008.433816</v>
      </c>
      <c r="U6" s="50">
        <f>F6*'Comparisons 2012-2016'!H$37/100</f>
        <v>129.63116400000001</v>
      </c>
      <c r="V6" s="55">
        <f t="shared" si="4"/>
        <v>2296.8407299999999</v>
      </c>
      <c r="W6" s="8">
        <f t="shared" si="5"/>
        <v>104.93609500000002</v>
      </c>
      <c r="X6" s="4">
        <f>E6*'Comparisons 2012-2016'!H$29/100</f>
        <v>58.414416000000003</v>
      </c>
      <c r="Y6" s="4">
        <f>F6*'Comparisons 2012-2016'!H$36/100</f>
        <v>42.486564000000001</v>
      </c>
      <c r="Z6" s="8">
        <f t="shared" si="6"/>
        <v>205.83707499999991</v>
      </c>
      <c r="AA6" s="9">
        <f t="shared" si="7"/>
        <v>2195.93975</v>
      </c>
      <c r="AB6" s="4"/>
      <c r="AC6" s="7">
        <f t="shared" si="8"/>
        <v>9.373530170852816E-2</v>
      </c>
    </row>
    <row r="7" spans="1:29" x14ac:dyDescent="0.2">
      <c r="A7" s="4">
        <v>4</v>
      </c>
      <c r="B7" s="59">
        <f t="shared" si="1"/>
        <v>2.4817939069074858E-2</v>
      </c>
      <c r="C7" s="4">
        <v>97</v>
      </c>
      <c r="D7" s="4">
        <v>2.4531299999999998</v>
      </c>
      <c r="E7" s="4">
        <v>3.3999000000000001</v>
      </c>
      <c r="F7" s="4">
        <v>2.8572000000000002</v>
      </c>
      <c r="G7" s="96">
        <f>D7*'Comparisons 2012-2016'!C$18/100</f>
        <v>1383.2709444</v>
      </c>
      <c r="H7" s="96">
        <f>E7*'Comparisons 2012-2016'!C$30/100</f>
        <v>839.77530000000002</v>
      </c>
      <c r="I7" s="96">
        <f>F7*'Comparisons 2012-2016'!C$37/100</f>
        <v>125.43108000000001</v>
      </c>
      <c r="J7" s="120">
        <f t="shared" si="2"/>
        <v>2348.4773243999998</v>
      </c>
      <c r="K7" s="50">
        <f>D7*'Comparisons 2012-2016'!F$18/100</f>
        <v>1411.9725654000001</v>
      </c>
      <c r="L7" s="50">
        <f>E7*'Comparisons 2012-2016'!F$30/100</f>
        <v>752.05787999999995</v>
      </c>
      <c r="M7" s="50">
        <f>F7*'Comparisons 2012-2016'!F$37/100</f>
        <v>127.57398000000001</v>
      </c>
      <c r="N7" s="55">
        <f t="shared" si="3"/>
        <v>2291.6044254000003</v>
      </c>
      <c r="O7" s="4">
        <f>D7*'Comparisons 2012-2016'!G$18/100</f>
        <v>1122.1843185</v>
      </c>
      <c r="P7" s="4">
        <f>E7*'Comparisons 2012-2016'!G$30/100</f>
        <v>873.77430000000004</v>
      </c>
      <c r="Q7" s="4">
        <f>F7*'Comparisons 2012-2016'!G$37/100</f>
        <v>97.144800000000018</v>
      </c>
      <c r="R7" s="6">
        <f t="shared" si="0"/>
        <v>2093.1034184999999</v>
      </c>
      <c r="S7" s="50">
        <f>D7*'Comparisons 2012-2016'!H$18/100</f>
        <v>1003.575483</v>
      </c>
      <c r="T7" s="50">
        <f>E7*'Comparisons 2012-2016'!H$30/100</f>
        <v>873.36631199999999</v>
      </c>
      <c r="U7" s="50">
        <f>F7*'Comparisons 2012-2016'!H$37/100</f>
        <v>129.63116400000001</v>
      </c>
      <c r="V7" s="55">
        <f t="shared" si="4"/>
        <v>2006.5729590000001</v>
      </c>
      <c r="W7" s="8">
        <f t="shared" si="5"/>
        <v>86.530459499999779</v>
      </c>
      <c r="X7" s="4">
        <f>E7*'Comparisons 2012-2016'!H$29/100</f>
        <v>50.590511999999997</v>
      </c>
      <c r="Y7" s="4">
        <f>F7*'Comparisons 2012-2016'!H$36/100</f>
        <v>42.486564000000001</v>
      </c>
      <c r="Z7" s="8">
        <f t="shared" si="6"/>
        <v>179.60753549999981</v>
      </c>
      <c r="AA7" s="9">
        <f t="shared" si="7"/>
        <v>1913.495883</v>
      </c>
      <c r="AB7" s="4"/>
      <c r="AC7" s="7">
        <f t="shared" si="8"/>
        <v>9.3863559935341553E-2</v>
      </c>
    </row>
    <row r="8" spans="1:29" x14ac:dyDescent="0.2">
      <c r="A8" s="4">
        <v>5</v>
      </c>
      <c r="B8" s="59">
        <f t="shared" si="1"/>
        <v>2.5035858013916376E-2</v>
      </c>
      <c r="C8" s="4">
        <v>107</v>
      </c>
      <c r="D8" s="4">
        <v>2.706</v>
      </c>
      <c r="E8" s="4">
        <v>3.7504</v>
      </c>
      <c r="F8" s="4">
        <v>2.8572000000000002</v>
      </c>
      <c r="G8" s="96">
        <f>D8*'Comparisons 2012-2016'!C$18/100</f>
        <v>1525.8592799999999</v>
      </c>
      <c r="H8" s="96">
        <f>E8*'Comparisons 2012-2016'!C$30/100</f>
        <v>926.3488000000001</v>
      </c>
      <c r="I8" s="96">
        <f>F8*'Comparisons 2012-2016'!C$37/100</f>
        <v>125.43108000000001</v>
      </c>
      <c r="J8" s="120">
        <f t="shared" si="2"/>
        <v>2577.6391599999997</v>
      </c>
      <c r="K8" s="50">
        <f>D8*'Comparisons 2012-2016'!F$18/100</f>
        <v>1557.5194799999999</v>
      </c>
      <c r="L8" s="50">
        <f>E8*'Comparisons 2012-2016'!F$30/100</f>
        <v>829.58848</v>
      </c>
      <c r="M8" s="50">
        <f>F8*'Comparisons 2012-2016'!F$37/100</f>
        <v>127.57398000000001</v>
      </c>
      <c r="N8" s="55">
        <f t="shared" si="3"/>
        <v>2514.6819399999999</v>
      </c>
      <c r="O8" s="4">
        <f>D8*'Comparisons 2012-2016'!G$18/100</f>
        <v>1237.8597</v>
      </c>
      <c r="P8" s="4">
        <f>E8*'Comparisons 2012-2016'!G$30/100</f>
        <v>963.8528</v>
      </c>
      <c r="Q8" s="4">
        <f>F8*'Comparisons 2012-2016'!G$37/100</f>
        <v>97.144800000000018</v>
      </c>
      <c r="R8" s="6">
        <f t="shared" si="0"/>
        <v>2298.8573000000001</v>
      </c>
      <c r="S8" s="50">
        <f>D8*'Comparisons 2012-2016'!H$18/100</f>
        <v>1107.0246</v>
      </c>
      <c r="T8" s="50">
        <f>E8*'Comparisons 2012-2016'!H$30/100</f>
        <v>963.40275200000008</v>
      </c>
      <c r="U8" s="50">
        <f>F8*'Comparisons 2012-2016'!H$37/100</f>
        <v>129.63116400000001</v>
      </c>
      <c r="V8" s="55">
        <f t="shared" si="4"/>
        <v>2200.0585160000001</v>
      </c>
      <c r="W8" s="8">
        <f t="shared" si="5"/>
        <v>98.798784000000069</v>
      </c>
      <c r="X8" s="4">
        <f>E8*'Comparisons 2012-2016'!H$29/100</f>
        <v>55.805951999999998</v>
      </c>
      <c r="Y8" s="4">
        <f>F8*'Comparisons 2012-2016'!H$36/100</f>
        <v>42.486564000000001</v>
      </c>
      <c r="Z8" s="8">
        <f t="shared" si="6"/>
        <v>197.09130000000005</v>
      </c>
      <c r="AA8" s="9">
        <f t="shared" si="7"/>
        <v>2101.7660000000001</v>
      </c>
      <c r="AB8" s="4"/>
      <c r="AC8" s="7">
        <f t="shared" si="8"/>
        <v>9.3774140413347654E-2</v>
      </c>
    </row>
    <row r="9" spans="1:29" x14ac:dyDescent="0.2">
      <c r="A9" s="4">
        <v>6</v>
      </c>
      <c r="B9" s="59">
        <f t="shared" si="1"/>
        <v>2.4462522941196579E-2</v>
      </c>
      <c r="C9" s="4">
        <v>84</v>
      </c>
      <c r="D9" s="4">
        <v>2.1244000000000001</v>
      </c>
      <c r="E9" s="4">
        <v>2.9443000000000001</v>
      </c>
      <c r="F9" s="4">
        <v>2.8572000000000002</v>
      </c>
      <c r="G9" s="96">
        <f>D9*'Comparisons 2012-2016'!C$18/100</f>
        <v>1197.9066720000001</v>
      </c>
      <c r="H9" s="96">
        <f>E9*'Comparisons 2012-2016'!C$30/100</f>
        <v>727.24210000000005</v>
      </c>
      <c r="I9" s="96">
        <f>F9*'Comparisons 2012-2016'!C$37/100</f>
        <v>125.43108000000001</v>
      </c>
      <c r="J9" s="120">
        <f t="shared" si="2"/>
        <v>2050.5798519999998</v>
      </c>
      <c r="K9" s="50">
        <f>D9*'Comparisons 2012-2016'!F$18/100</f>
        <v>1222.762152</v>
      </c>
      <c r="L9" s="50">
        <f>E9*'Comparisons 2012-2016'!F$30/100</f>
        <v>651.27916000000005</v>
      </c>
      <c r="M9" s="50">
        <f>F9*'Comparisons 2012-2016'!F$37/100</f>
        <v>127.57398000000001</v>
      </c>
      <c r="N9" s="55">
        <f t="shared" si="3"/>
        <v>2001.615292</v>
      </c>
      <c r="O9" s="4">
        <f>D9*'Comparisons 2012-2016'!G$18/100</f>
        <v>971.80678</v>
      </c>
      <c r="P9" s="4">
        <f>E9*'Comparisons 2012-2016'!G$30/100</f>
        <v>756.68510000000015</v>
      </c>
      <c r="Q9" s="4">
        <f>F9*'Comparisons 2012-2016'!G$37/100</f>
        <v>97.144800000000018</v>
      </c>
      <c r="R9" s="6">
        <f t="shared" si="0"/>
        <v>1825.6366800000001</v>
      </c>
      <c r="S9" s="50">
        <f>D9*'Comparisons 2012-2016'!H$18/100</f>
        <v>869.09204</v>
      </c>
      <c r="T9" s="50">
        <f>E9*'Comparisons 2012-2016'!H$30/100</f>
        <v>756.33178400000008</v>
      </c>
      <c r="U9" s="50">
        <f>F9*'Comparisons 2012-2016'!H$37/100</f>
        <v>129.63116400000001</v>
      </c>
      <c r="V9" s="55">
        <f t="shared" si="4"/>
        <v>1755.0549879999999</v>
      </c>
      <c r="W9" s="8">
        <f t="shared" si="5"/>
        <v>70.581692000000203</v>
      </c>
      <c r="X9" s="4">
        <f>E9*'Comparisons 2012-2016'!H$29/100</f>
        <v>43.811184000000004</v>
      </c>
      <c r="Y9" s="4">
        <f>F9*'Comparisons 2012-2016'!H$36/100</f>
        <v>42.486564000000001</v>
      </c>
      <c r="Z9" s="8">
        <f t="shared" si="6"/>
        <v>156.87944000000016</v>
      </c>
      <c r="AA9" s="9">
        <f t="shared" si="7"/>
        <v>1668.7572399999999</v>
      </c>
      <c r="AB9" s="4"/>
      <c r="AC9" s="7">
        <f t="shared" si="8"/>
        <v>9.4009743442371618E-2</v>
      </c>
    </row>
    <row r="10" spans="1:29" x14ac:dyDescent="0.2">
      <c r="A10" s="4">
        <v>7</v>
      </c>
      <c r="B10" s="59">
        <f t="shared" si="1"/>
        <v>2.4492847088412584E-2</v>
      </c>
      <c r="C10" s="4">
        <v>85</v>
      </c>
      <c r="D10" s="4">
        <v>2.1497000000000002</v>
      </c>
      <c r="E10" s="4">
        <v>2.9792999999999998</v>
      </c>
      <c r="F10" s="4">
        <v>2.8572000000000002</v>
      </c>
      <c r="G10" s="96">
        <f>D10*'Comparisons 2012-2016'!C$18/100</f>
        <v>1212.1728360000002</v>
      </c>
      <c r="H10" s="96">
        <f>E10*'Comparisons 2012-2016'!C$30/100</f>
        <v>735.88709999999992</v>
      </c>
      <c r="I10" s="96">
        <f>F10*'Comparisons 2012-2016'!C$37/100</f>
        <v>125.43108000000001</v>
      </c>
      <c r="J10" s="120">
        <f t="shared" si="2"/>
        <v>2073.4910159999999</v>
      </c>
      <c r="K10" s="50">
        <f>D10*'Comparisons 2012-2016'!F$18/100</f>
        <v>1237.3243260000002</v>
      </c>
      <c r="L10" s="50">
        <f>E10*'Comparisons 2012-2016'!F$30/100</f>
        <v>659.0211599999999</v>
      </c>
      <c r="M10" s="50">
        <f>F10*'Comparisons 2012-2016'!F$37/100</f>
        <v>127.57398000000001</v>
      </c>
      <c r="N10" s="55">
        <f t="shared" si="3"/>
        <v>2023.9194660000003</v>
      </c>
      <c r="O10" s="4">
        <f>D10*'Comparisons 2012-2016'!G$18/100</f>
        <v>983.38026500000012</v>
      </c>
      <c r="P10" s="4">
        <f>E10*'Comparisons 2012-2016'!G$30/100</f>
        <v>765.68009999999992</v>
      </c>
      <c r="Q10" s="4">
        <f>F10*'Comparisons 2012-2016'!G$37/100</f>
        <v>97.144800000000018</v>
      </c>
      <c r="R10" s="6">
        <f t="shared" si="0"/>
        <v>1846.2051650000001</v>
      </c>
      <c r="S10" s="50">
        <f>D10*'Comparisons 2012-2016'!H$18/100</f>
        <v>879.44227000000012</v>
      </c>
      <c r="T10" s="50">
        <f>E10*'Comparisons 2012-2016'!H$30/100</f>
        <v>765.32258399999989</v>
      </c>
      <c r="U10" s="50">
        <f>F10*'Comparisons 2012-2016'!H$37/100</f>
        <v>129.63116400000001</v>
      </c>
      <c r="V10" s="55">
        <f t="shared" si="4"/>
        <v>1774.3960179999999</v>
      </c>
      <c r="W10" s="8">
        <f t="shared" si="5"/>
        <v>71.809147000000166</v>
      </c>
      <c r="X10" s="4">
        <f>E10*'Comparisons 2012-2016'!H$29/100</f>
        <v>44.331983999999991</v>
      </c>
      <c r="Y10" s="4">
        <f>F10*'Comparisons 2012-2016'!H$36/100</f>
        <v>42.486564000000001</v>
      </c>
      <c r="Z10" s="8">
        <f t="shared" si="6"/>
        <v>158.62769500000013</v>
      </c>
      <c r="AA10" s="9">
        <f t="shared" si="7"/>
        <v>1687.5774699999999</v>
      </c>
      <c r="AB10" s="4"/>
      <c r="AC10" s="7">
        <f t="shared" si="8"/>
        <v>9.3997281795898904E-2</v>
      </c>
    </row>
    <row r="11" spans="1:29" x14ac:dyDescent="0.2">
      <c r="A11" s="4">
        <v>8</v>
      </c>
      <c r="B11" s="59">
        <f t="shared" si="1"/>
        <v>2.4524262882535577E-2</v>
      </c>
      <c r="C11" s="4">
        <v>86</v>
      </c>
      <c r="D11" s="4">
        <v>2.1749399999999999</v>
      </c>
      <c r="E11" s="4">
        <v>3.0144000000000002</v>
      </c>
      <c r="F11" s="4">
        <v>2.8572000000000002</v>
      </c>
      <c r="G11" s="96">
        <f>D11*'Comparisons 2012-2016'!C$18/100</f>
        <v>1226.4051672000001</v>
      </c>
      <c r="H11" s="96">
        <f>E11*'Comparisons 2012-2016'!C$30/100</f>
        <v>744.55680000000007</v>
      </c>
      <c r="I11" s="96">
        <f>F11*'Comparisons 2012-2016'!C$37/100</f>
        <v>125.43108000000001</v>
      </c>
      <c r="J11" s="120">
        <f t="shared" si="2"/>
        <v>2096.3930472000002</v>
      </c>
      <c r="K11" s="50">
        <f>D11*'Comparisons 2012-2016'!F$18/100</f>
        <v>1251.8519652</v>
      </c>
      <c r="L11" s="50">
        <f>E11*'Comparisons 2012-2016'!F$30/100</f>
        <v>666.78528000000006</v>
      </c>
      <c r="M11" s="50">
        <f>F11*'Comparisons 2012-2016'!F$37/100</f>
        <v>127.57398000000001</v>
      </c>
      <c r="N11" s="55">
        <f t="shared" si="3"/>
        <v>2046.2112252000002</v>
      </c>
      <c r="O11" s="4">
        <f>D11*'Comparisons 2012-2016'!G$18/100</f>
        <v>994.92630299999985</v>
      </c>
      <c r="P11" s="4">
        <f>E11*'Comparisons 2012-2016'!G$30/100</f>
        <v>774.70080000000007</v>
      </c>
      <c r="Q11" s="4">
        <f>F11*'Comparisons 2012-2016'!G$37/100</f>
        <v>97.144800000000018</v>
      </c>
      <c r="R11" s="6">
        <f t="shared" si="0"/>
        <v>1866.7719029999998</v>
      </c>
      <c r="S11" s="50">
        <f>D11*'Comparisons 2012-2016'!H$18/100</f>
        <v>889.76795399999992</v>
      </c>
      <c r="T11" s="50">
        <f>E11*'Comparisons 2012-2016'!H$30/100</f>
        <v>774.33907199999999</v>
      </c>
      <c r="U11" s="50">
        <f>F11*'Comparisons 2012-2016'!H$37/100</f>
        <v>129.63116400000001</v>
      </c>
      <c r="V11" s="55">
        <f t="shared" si="4"/>
        <v>1793.73819</v>
      </c>
      <c r="W11" s="8">
        <f t="shared" si="5"/>
        <v>73.033712999999807</v>
      </c>
      <c r="X11" s="4">
        <f>E11*'Comparisons 2012-2016'!H$29/100</f>
        <v>44.854272000000002</v>
      </c>
      <c r="Y11" s="4">
        <f>F11*'Comparisons 2012-2016'!H$36/100</f>
        <v>42.486564000000001</v>
      </c>
      <c r="Z11" s="8">
        <f t="shared" si="6"/>
        <v>160.37454899999989</v>
      </c>
      <c r="AA11" s="9">
        <f t="shared" si="7"/>
        <v>1706.397354</v>
      </c>
      <c r="AB11" s="4"/>
      <c r="AC11" s="7">
        <f t="shared" si="8"/>
        <v>9.3984293062845364E-2</v>
      </c>
    </row>
    <row r="12" spans="1:29" x14ac:dyDescent="0.2">
      <c r="A12" s="4">
        <v>9</v>
      </c>
      <c r="B12" s="59">
        <f t="shared" si="1"/>
        <v>2.5130672344601885E-2</v>
      </c>
      <c r="C12" s="5">
        <v>112</v>
      </c>
      <c r="D12" s="4">
        <v>2.8325</v>
      </c>
      <c r="E12" s="4">
        <v>3.9257</v>
      </c>
      <c r="F12" s="4">
        <v>2.8572000000000002</v>
      </c>
      <c r="G12" s="96">
        <f>D12*'Comparisons 2012-2016'!C$18/100</f>
        <v>1597.1901</v>
      </c>
      <c r="H12" s="96">
        <f>E12*'Comparisons 2012-2016'!C$30/100</f>
        <v>969.64789999999994</v>
      </c>
      <c r="I12" s="96">
        <f>F12*'Comparisons 2012-2016'!C$37/100</f>
        <v>125.43108000000001</v>
      </c>
      <c r="J12" s="120">
        <f t="shared" si="2"/>
        <v>2692.2690799999996</v>
      </c>
      <c r="K12" s="50">
        <f>D12*'Comparisons 2012-2016'!F$18/100</f>
        <v>1630.33035</v>
      </c>
      <c r="L12" s="50">
        <f>E12*'Comparisons 2012-2016'!F$30/100</f>
        <v>868.36483999999996</v>
      </c>
      <c r="M12" s="50">
        <f>F12*'Comparisons 2012-2016'!F$37/100</f>
        <v>127.57398000000001</v>
      </c>
      <c r="N12" s="55">
        <f t="shared" si="3"/>
        <v>2626.26917</v>
      </c>
      <c r="O12" s="4">
        <f>D12*'Comparisons 2012-2016'!G$18/100</f>
        <v>1295.7271249999999</v>
      </c>
      <c r="P12" s="4">
        <f>E12*'Comparisons 2012-2016'!G$30/100</f>
        <v>1008.9049</v>
      </c>
      <c r="Q12" s="4">
        <f>F12*'Comparisons 2012-2016'!G$37/100</f>
        <v>97.144800000000018</v>
      </c>
      <c r="R12" s="6">
        <f t="shared" si="0"/>
        <v>2401.7768249999999</v>
      </c>
      <c r="S12" s="50">
        <f>D12*'Comparisons 2012-2016'!H$18/100</f>
        <v>1158.77575</v>
      </c>
      <c r="T12" s="50">
        <f>E12*'Comparisons 2012-2016'!H$30/100</f>
        <v>1008.433816</v>
      </c>
      <c r="U12" s="50">
        <f>F12*'Comparisons 2012-2016'!H$37/100</f>
        <v>129.63116400000001</v>
      </c>
      <c r="V12" s="55">
        <f t="shared" si="4"/>
        <v>2296.8407299999999</v>
      </c>
      <c r="W12" s="8">
        <f t="shared" si="5"/>
        <v>104.93609500000002</v>
      </c>
      <c r="X12" s="4">
        <f>E12*'Comparisons 2012-2016'!H$29/100</f>
        <v>58.414416000000003</v>
      </c>
      <c r="Y12" s="4">
        <f>F12*'Comparisons 2012-2016'!H$36/100</f>
        <v>42.486564000000001</v>
      </c>
      <c r="Z12" s="8">
        <f t="shared" si="6"/>
        <v>205.83707499999991</v>
      </c>
      <c r="AA12" s="9">
        <f t="shared" si="7"/>
        <v>2195.93975</v>
      </c>
      <c r="AB12" s="4"/>
      <c r="AC12" s="7">
        <f t="shared" si="8"/>
        <v>9.373530170852816E-2</v>
      </c>
    </row>
    <row r="13" spans="1:29" x14ac:dyDescent="0.2">
      <c r="A13" s="4">
        <v>10</v>
      </c>
      <c r="B13" s="59">
        <f t="shared" si="1"/>
        <v>2.4817939069074858E-2</v>
      </c>
      <c r="C13" s="4">
        <v>97</v>
      </c>
      <c r="D13" s="4">
        <v>2.4531299999999998</v>
      </c>
      <c r="E13" s="4">
        <v>3.3999000000000001</v>
      </c>
      <c r="F13" s="4">
        <v>2.8572000000000002</v>
      </c>
      <c r="G13" s="96">
        <f>D13*'Comparisons 2012-2016'!C$18/100</f>
        <v>1383.2709444</v>
      </c>
      <c r="H13" s="96">
        <f>E13*'Comparisons 2012-2016'!C$30/100</f>
        <v>839.77530000000002</v>
      </c>
      <c r="I13" s="96">
        <f>F13*'Comparisons 2012-2016'!C$37/100</f>
        <v>125.43108000000001</v>
      </c>
      <c r="J13" s="120">
        <f t="shared" si="2"/>
        <v>2348.4773243999998</v>
      </c>
      <c r="K13" s="50">
        <f>D13*'Comparisons 2012-2016'!F$18/100</f>
        <v>1411.9725654000001</v>
      </c>
      <c r="L13" s="50">
        <f>E13*'Comparisons 2012-2016'!F$30/100</f>
        <v>752.05787999999995</v>
      </c>
      <c r="M13" s="50">
        <f>F13*'Comparisons 2012-2016'!F$37/100</f>
        <v>127.57398000000001</v>
      </c>
      <c r="N13" s="55">
        <f t="shared" si="3"/>
        <v>2291.6044254000003</v>
      </c>
      <c r="O13" s="4">
        <f>D13*'Comparisons 2012-2016'!G$18/100</f>
        <v>1122.1843185</v>
      </c>
      <c r="P13" s="4">
        <f>E13*'Comparisons 2012-2016'!G$30/100</f>
        <v>873.77430000000004</v>
      </c>
      <c r="Q13" s="4">
        <f>F13*'Comparisons 2012-2016'!G$37/100</f>
        <v>97.144800000000018</v>
      </c>
      <c r="R13" s="6">
        <f t="shared" si="0"/>
        <v>2093.1034184999999</v>
      </c>
      <c r="S13" s="50">
        <f>D13*'Comparisons 2012-2016'!H$18/100</f>
        <v>1003.575483</v>
      </c>
      <c r="T13" s="50">
        <f>E13*'Comparisons 2012-2016'!H$30/100</f>
        <v>873.36631199999999</v>
      </c>
      <c r="U13" s="50">
        <f>F13*'Comparisons 2012-2016'!H$37/100</f>
        <v>129.63116400000001</v>
      </c>
      <c r="V13" s="55">
        <f t="shared" si="4"/>
        <v>2006.5729590000001</v>
      </c>
      <c r="W13" s="8">
        <f t="shared" si="5"/>
        <v>86.530459499999779</v>
      </c>
      <c r="X13" s="4">
        <f>E13*'Comparisons 2012-2016'!H$29/100</f>
        <v>50.590511999999997</v>
      </c>
      <c r="Y13" s="4">
        <f>F13*'Comparisons 2012-2016'!H$36/100</f>
        <v>42.486564000000001</v>
      </c>
      <c r="Z13" s="8">
        <f t="shared" si="6"/>
        <v>179.60753549999981</v>
      </c>
      <c r="AA13" s="9">
        <f t="shared" si="7"/>
        <v>1913.495883</v>
      </c>
      <c r="AB13" s="4"/>
      <c r="AC13" s="7">
        <f t="shared" si="8"/>
        <v>9.3863559935341553E-2</v>
      </c>
    </row>
    <row r="14" spans="1:29" x14ac:dyDescent="0.2">
      <c r="A14" s="4">
        <v>11</v>
      </c>
      <c r="B14" s="59">
        <f t="shared" si="1"/>
        <v>2.523465070145571E-2</v>
      </c>
      <c r="C14" s="4">
        <v>118</v>
      </c>
      <c r="D14" s="4">
        <v>2.9842200000000001</v>
      </c>
      <c r="E14" s="4">
        <v>4.1360000000000001</v>
      </c>
      <c r="F14" s="4">
        <v>2.8572000000000002</v>
      </c>
      <c r="G14" s="96">
        <f>D14*'Comparisons 2012-2016'!C$18/100</f>
        <v>1682.7419735999999</v>
      </c>
      <c r="H14" s="96">
        <f>E14*'Comparisons 2012-2016'!C$30/100</f>
        <v>1021.592</v>
      </c>
      <c r="I14" s="96">
        <f>F14*'Comparisons 2012-2016'!C$37/100</f>
        <v>125.43108000000001</v>
      </c>
      <c r="J14" s="120">
        <f t="shared" si="2"/>
        <v>2829.7650535999996</v>
      </c>
      <c r="K14" s="50">
        <f>D14*'Comparisons 2012-2016'!F$18/100</f>
        <v>1717.6573475999999</v>
      </c>
      <c r="L14" s="50">
        <f>E14*'Comparisons 2012-2016'!F$30/100</f>
        <v>914.8832000000001</v>
      </c>
      <c r="M14" s="50">
        <f>F14*'Comparisons 2012-2016'!F$37/100</f>
        <v>127.57398000000001</v>
      </c>
      <c r="N14" s="55">
        <f t="shared" si="3"/>
        <v>2760.1145276000002</v>
      </c>
      <c r="O14" s="4">
        <f>D14*'Comparisons 2012-2016'!G$18/100</f>
        <v>1365.131439</v>
      </c>
      <c r="P14" s="4">
        <f>E14*'Comparisons 2012-2016'!G$30/100</f>
        <v>1062.952</v>
      </c>
      <c r="Q14" s="4">
        <f>F14*'Comparisons 2012-2016'!G$37/100</f>
        <v>97.144800000000018</v>
      </c>
      <c r="R14" s="6">
        <f t="shared" si="0"/>
        <v>2525.228239</v>
      </c>
      <c r="S14" s="50">
        <f>D14*'Comparisons 2012-2016'!H$18/100</f>
        <v>1220.8444019999999</v>
      </c>
      <c r="T14" s="50">
        <f>E14*'Comparisons 2012-2016'!H$30/100</f>
        <v>1062.45568</v>
      </c>
      <c r="U14" s="50">
        <f>F14*'Comparisons 2012-2016'!H$37/100</f>
        <v>129.63116400000001</v>
      </c>
      <c r="V14" s="55">
        <f t="shared" si="4"/>
        <v>2412.9312459999996</v>
      </c>
      <c r="W14" s="8">
        <f t="shared" si="5"/>
        <v>112.29699300000038</v>
      </c>
      <c r="X14" s="4">
        <f>E14*'Comparisons 2012-2016'!H$29/100</f>
        <v>61.543680000000002</v>
      </c>
      <c r="Y14" s="4">
        <f>F14*'Comparisons 2012-2016'!H$36/100</f>
        <v>42.486564000000001</v>
      </c>
      <c r="Z14" s="8">
        <f t="shared" si="6"/>
        <v>216.32723700000042</v>
      </c>
      <c r="AA14" s="9">
        <f t="shared" si="7"/>
        <v>2308.9010019999996</v>
      </c>
      <c r="AB14" s="4"/>
      <c r="AC14" s="7">
        <f t="shared" si="8"/>
        <v>9.3692729490183854E-2</v>
      </c>
    </row>
    <row r="15" spans="1:29" x14ac:dyDescent="0.2">
      <c r="A15" s="4">
        <v>12</v>
      </c>
      <c r="B15" s="59">
        <f t="shared" si="1"/>
        <v>2.4794272707815042E-2</v>
      </c>
      <c r="C15" s="4">
        <v>96</v>
      </c>
      <c r="D15" s="4">
        <v>2.4278400000000002</v>
      </c>
      <c r="E15" s="4">
        <v>3.3649</v>
      </c>
      <c r="F15" s="4">
        <v>2.8572000000000002</v>
      </c>
      <c r="G15" s="96">
        <f>D15*'Comparisons 2012-2016'!C$18/100</f>
        <v>1369.0104192000001</v>
      </c>
      <c r="H15" s="96">
        <f>E15*'Comparisons 2012-2016'!C$30/100</f>
        <v>831.13030000000003</v>
      </c>
      <c r="I15" s="96">
        <f>F15*'Comparisons 2012-2016'!C$37/100</f>
        <v>125.43108000000001</v>
      </c>
      <c r="J15" s="120">
        <f t="shared" si="2"/>
        <v>2325.5717992</v>
      </c>
      <c r="K15" s="50">
        <f>D15*'Comparisons 2012-2016'!F$18/100</f>
        <v>1397.4161472000001</v>
      </c>
      <c r="L15" s="50">
        <f>E15*'Comparisons 2012-2016'!F$30/100</f>
        <v>744.31587999999999</v>
      </c>
      <c r="M15" s="50">
        <f>F15*'Comparisons 2012-2016'!F$37/100</f>
        <v>127.57398000000001</v>
      </c>
      <c r="N15" s="55">
        <f t="shared" si="3"/>
        <v>2269.3060072000003</v>
      </c>
      <c r="O15" s="4">
        <f>D15*'Comparisons 2012-2016'!G$18/100</f>
        <v>1110.6154080000001</v>
      </c>
      <c r="P15" s="4">
        <f>E15*'Comparisons 2012-2016'!G$30/100</f>
        <v>864.77929999999992</v>
      </c>
      <c r="Q15" s="4">
        <f>F15*'Comparisons 2012-2016'!G$37/100</f>
        <v>97.144800000000018</v>
      </c>
      <c r="R15" s="6">
        <f t="shared" si="0"/>
        <v>2072.5395079999998</v>
      </c>
      <c r="S15" s="50">
        <f>D15*'Comparisons 2012-2016'!H$18/100</f>
        <v>993.22934400000008</v>
      </c>
      <c r="T15" s="50">
        <f>E15*'Comparisons 2012-2016'!H$30/100</f>
        <v>864.37551200000007</v>
      </c>
      <c r="U15" s="50">
        <f>F15*'Comparisons 2012-2016'!H$37/100</f>
        <v>129.63116400000001</v>
      </c>
      <c r="V15" s="55">
        <f t="shared" si="4"/>
        <v>1987.2360200000003</v>
      </c>
      <c r="W15" s="8">
        <f t="shared" si="5"/>
        <v>85.303487999999561</v>
      </c>
      <c r="X15" s="4">
        <f>E15*'Comparisons 2012-2016'!H$29/100</f>
        <v>50.069712000000003</v>
      </c>
      <c r="Y15" s="4">
        <f>F15*'Comparisons 2012-2016'!H$36/100</f>
        <v>42.486564000000001</v>
      </c>
      <c r="Z15" s="8">
        <f t="shared" si="6"/>
        <v>177.85976399999959</v>
      </c>
      <c r="AA15" s="9">
        <f t="shared" si="7"/>
        <v>1894.6797440000003</v>
      </c>
      <c r="AB15" s="4"/>
      <c r="AC15" s="7">
        <f t="shared" si="8"/>
        <v>9.3873259881116652E-2</v>
      </c>
    </row>
    <row r="16" spans="1:29" x14ac:dyDescent="0.2">
      <c r="A16" s="4">
        <v>13</v>
      </c>
      <c r="B16" s="59">
        <f t="shared" si="1"/>
        <v>2.4639036848837316E-2</v>
      </c>
      <c r="C16" s="4">
        <v>90</v>
      </c>
      <c r="D16" s="4">
        <v>2.2761</v>
      </c>
      <c r="E16" s="4">
        <v>3.1545999999999998</v>
      </c>
      <c r="F16" s="4">
        <v>2.8572000000000002</v>
      </c>
      <c r="G16" s="96">
        <f>D16*'Comparisons 2012-2016'!C$18/100</f>
        <v>1283.4472680000001</v>
      </c>
      <c r="H16" s="96">
        <f>E16*'Comparisons 2012-2016'!C$30/100</f>
        <v>779.18619999999999</v>
      </c>
      <c r="I16" s="96">
        <f>F16*'Comparisons 2012-2016'!C$37/100</f>
        <v>125.43108000000001</v>
      </c>
      <c r="J16" s="120">
        <f t="shared" si="2"/>
        <v>2188.0645479999998</v>
      </c>
      <c r="K16" s="50">
        <f>D16*'Comparisons 2012-2016'!F$18/100</f>
        <v>1310.077638</v>
      </c>
      <c r="L16" s="50">
        <f>E16*'Comparisons 2012-2016'!F$30/100</f>
        <v>697.79751999999996</v>
      </c>
      <c r="M16" s="50">
        <f>F16*'Comparisons 2012-2016'!F$37/100</f>
        <v>127.57398000000001</v>
      </c>
      <c r="N16" s="55">
        <f t="shared" si="3"/>
        <v>2135.4491379999999</v>
      </c>
      <c r="O16" s="4">
        <f>D16*'Comparisons 2012-2016'!G$18/100</f>
        <v>1041.201945</v>
      </c>
      <c r="P16" s="4">
        <f>E16*'Comparisons 2012-2016'!G$30/100</f>
        <v>810.73220000000003</v>
      </c>
      <c r="Q16" s="4">
        <f>F16*'Comparisons 2012-2016'!G$37/100</f>
        <v>97.144800000000018</v>
      </c>
      <c r="R16" s="6">
        <f t="shared" si="0"/>
        <v>1949.0789450000002</v>
      </c>
      <c r="S16" s="50">
        <f>D16*'Comparisons 2012-2016'!H$18/100</f>
        <v>931.15251000000001</v>
      </c>
      <c r="T16" s="50">
        <f>E16*'Comparisons 2012-2016'!H$30/100</f>
        <v>810.35364799999991</v>
      </c>
      <c r="U16" s="50">
        <f>F16*'Comparisons 2012-2016'!H$37/100</f>
        <v>129.63116400000001</v>
      </c>
      <c r="V16" s="55">
        <f t="shared" si="4"/>
        <v>1871.137322</v>
      </c>
      <c r="W16" s="8">
        <f t="shared" si="5"/>
        <v>77.941623000000163</v>
      </c>
      <c r="X16" s="4">
        <f>E16*'Comparisons 2012-2016'!H$29/100</f>
        <v>46.940447999999996</v>
      </c>
      <c r="Y16" s="4">
        <f>F16*'Comparisons 2012-2016'!H$36/100</f>
        <v>42.486564000000001</v>
      </c>
      <c r="Z16" s="8">
        <f t="shared" si="6"/>
        <v>167.36863500000027</v>
      </c>
      <c r="AA16" s="9">
        <f t="shared" si="7"/>
        <v>1781.7103099999999</v>
      </c>
      <c r="AB16" s="4"/>
      <c r="AC16" s="7">
        <f t="shared" si="8"/>
        <v>9.3937063764310977E-2</v>
      </c>
    </row>
    <row r="17" spans="1:29" x14ac:dyDescent="0.2">
      <c r="A17" s="4">
        <v>14</v>
      </c>
      <c r="B17" s="59">
        <f t="shared" si="1"/>
        <v>2.4492847088412584E-2</v>
      </c>
      <c r="C17" s="4">
        <v>85</v>
      </c>
      <c r="D17" s="4">
        <v>2.1497000000000002</v>
      </c>
      <c r="E17" s="4">
        <v>2.9792999999999998</v>
      </c>
      <c r="F17" s="4">
        <v>2.8572000000000002</v>
      </c>
      <c r="G17" s="96">
        <f>D17*'Comparisons 2012-2016'!C$18/100</f>
        <v>1212.1728360000002</v>
      </c>
      <c r="H17" s="96">
        <f>E17*'Comparisons 2012-2016'!C$30/100</f>
        <v>735.88709999999992</v>
      </c>
      <c r="I17" s="96">
        <f>F17*'Comparisons 2012-2016'!C$37/100</f>
        <v>125.43108000000001</v>
      </c>
      <c r="J17" s="120">
        <f t="shared" si="2"/>
        <v>2073.4910159999999</v>
      </c>
      <c r="K17" s="50">
        <f>D17*'Comparisons 2012-2016'!F$18/100</f>
        <v>1237.3243260000002</v>
      </c>
      <c r="L17" s="50">
        <f>E17*'Comparisons 2012-2016'!F$30/100</f>
        <v>659.0211599999999</v>
      </c>
      <c r="M17" s="50">
        <f>F17*'Comparisons 2012-2016'!F$37/100</f>
        <v>127.57398000000001</v>
      </c>
      <c r="N17" s="55">
        <f t="shared" si="3"/>
        <v>2023.9194660000003</v>
      </c>
      <c r="O17" s="4">
        <f>D17*'Comparisons 2012-2016'!G$18/100</f>
        <v>983.38026500000012</v>
      </c>
      <c r="P17" s="4">
        <f>E17*'Comparisons 2012-2016'!G$30/100</f>
        <v>765.68009999999992</v>
      </c>
      <c r="Q17" s="4">
        <f>F17*'Comparisons 2012-2016'!G$37/100</f>
        <v>97.144800000000018</v>
      </c>
      <c r="R17" s="6">
        <f t="shared" si="0"/>
        <v>1846.2051650000001</v>
      </c>
      <c r="S17" s="50">
        <f>D17*'Comparisons 2012-2016'!H$18/100</f>
        <v>879.44227000000012</v>
      </c>
      <c r="T17" s="50">
        <f>E17*'Comparisons 2012-2016'!H$30/100</f>
        <v>765.32258399999989</v>
      </c>
      <c r="U17" s="50">
        <f>F17*'Comparisons 2012-2016'!H$37/100</f>
        <v>129.63116400000001</v>
      </c>
      <c r="V17" s="55">
        <f t="shared" si="4"/>
        <v>1774.3960179999999</v>
      </c>
      <c r="W17" s="8">
        <f t="shared" si="5"/>
        <v>71.809147000000166</v>
      </c>
      <c r="X17" s="4">
        <f>E17*'Comparisons 2012-2016'!H$29/100</f>
        <v>44.331983999999991</v>
      </c>
      <c r="Y17" s="4">
        <f>F17*'Comparisons 2012-2016'!H$36/100</f>
        <v>42.486564000000001</v>
      </c>
      <c r="Z17" s="8">
        <f t="shared" si="6"/>
        <v>158.62769500000013</v>
      </c>
      <c r="AA17" s="9">
        <f t="shared" si="7"/>
        <v>1687.5774699999999</v>
      </c>
      <c r="AB17" s="4"/>
      <c r="AC17" s="7">
        <f t="shared" si="8"/>
        <v>9.3997281795898904E-2</v>
      </c>
    </row>
    <row r="18" spans="1:29" x14ac:dyDescent="0.2">
      <c r="A18" s="4">
        <v>15</v>
      </c>
      <c r="B18" s="59">
        <f t="shared" si="1"/>
        <v>2.4524262882535577E-2</v>
      </c>
      <c r="C18" s="4">
        <v>86</v>
      </c>
      <c r="D18" s="4">
        <v>2.1749399999999999</v>
      </c>
      <c r="E18" s="4">
        <v>3.0144000000000002</v>
      </c>
      <c r="F18" s="4">
        <v>2.8572000000000002</v>
      </c>
      <c r="G18" s="96">
        <f>D18*'Comparisons 2012-2016'!C$18/100</f>
        <v>1226.4051672000001</v>
      </c>
      <c r="H18" s="96">
        <f>E18*'Comparisons 2012-2016'!C$30/100</f>
        <v>744.55680000000007</v>
      </c>
      <c r="I18" s="96">
        <f>F18*'Comparisons 2012-2016'!C$37/100</f>
        <v>125.43108000000001</v>
      </c>
      <c r="J18" s="120">
        <f t="shared" si="2"/>
        <v>2096.3930472000002</v>
      </c>
      <c r="K18" s="50">
        <f>D18*'Comparisons 2012-2016'!F$18/100</f>
        <v>1251.8519652</v>
      </c>
      <c r="L18" s="50">
        <f>E18*'Comparisons 2012-2016'!F$30/100</f>
        <v>666.78528000000006</v>
      </c>
      <c r="M18" s="50">
        <f>F18*'Comparisons 2012-2016'!F$37/100</f>
        <v>127.57398000000001</v>
      </c>
      <c r="N18" s="55">
        <f t="shared" si="3"/>
        <v>2046.2112252000002</v>
      </c>
      <c r="O18" s="4">
        <f>D18*'Comparisons 2012-2016'!G$18/100</f>
        <v>994.92630299999985</v>
      </c>
      <c r="P18" s="4">
        <f>E18*'Comparisons 2012-2016'!G$30/100</f>
        <v>774.70080000000007</v>
      </c>
      <c r="Q18" s="4">
        <f>F18*'Comparisons 2012-2016'!G$37/100</f>
        <v>97.144800000000018</v>
      </c>
      <c r="R18" s="6">
        <f t="shared" si="0"/>
        <v>1866.7719029999998</v>
      </c>
      <c r="S18" s="50">
        <f>D18*'Comparisons 2012-2016'!H$18/100</f>
        <v>889.76795399999992</v>
      </c>
      <c r="T18" s="50">
        <f>E18*'Comparisons 2012-2016'!H$30/100</f>
        <v>774.33907199999999</v>
      </c>
      <c r="U18" s="50">
        <f>F18*'Comparisons 2012-2016'!H$37/100</f>
        <v>129.63116400000001</v>
      </c>
      <c r="V18" s="55">
        <f t="shared" si="4"/>
        <v>1793.73819</v>
      </c>
      <c r="W18" s="8">
        <f t="shared" si="5"/>
        <v>73.033712999999807</v>
      </c>
      <c r="X18" s="4">
        <f>E18*'Comparisons 2012-2016'!H$29/100</f>
        <v>44.854272000000002</v>
      </c>
      <c r="Y18" s="4">
        <f>F18*'Comparisons 2012-2016'!H$36/100</f>
        <v>42.486564000000001</v>
      </c>
      <c r="Z18" s="8">
        <f t="shared" si="6"/>
        <v>160.37454899999989</v>
      </c>
      <c r="AA18" s="9">
        <f t="shared" si="7"/>
        <v>1706.397354</v>
      </c>
      <c r="AB18" s="4"/>
      <c r="AC18" s="7">
        <f t="shared" si="8"/>
        <v>9.3984293062845364E-2</v>
      </c>
    </row>
    <row r="19" spans="1:29" x14ac:dyDescent="0.2">
      <c r="A19" s="4">
        <v>16</v>
      </c>
      <c r="B19" s="59">
        <f t="shared" si="1"/>
        <v>2.5130672344601885E-2</v>
      </c>
      <c r="C19" s="5">
        <v>112</v>
      </c>
      <c r="D19" s="4">
        <v>2.8325</v>
      </c>
      <c r="E19" s="4">
        <v>3.9257</v>
      </c>
      <c r="F19" s="4">
        <v>2.8572000000000002</v>
      </c>
      <c r="G19" s="96">
        <f>D19*'Comparisons 2012-2016'!C$18/100</f>
        <v>1597.1901</v>
      </c>
      <c r="H19" s="96">
        <f>E19*'Comparisons 2012-2016'!C$30/100</f>
        <v>969.64789999999994</v>
      </c>
      <c r="I19" s="96">
        <f>F19*'Comparisons 2012-2016'!C$37/100</f>
        <v>125.43108000000001</v>
      </c>
      <c r="J19" s="120">
        <f t="shared" si="2"/>
        <v>2692.2690799999996</v>
      </c>
      <c r="K19" s="50">
        <f>D19*'Comparisons 2012-2016'!F$18/100</f>
        <v>1630.33035</v>
      </c>
      <c r="L19" s="50">
        <f>E19*'Comparisons 2012-2016'!F$30/100</f>
        <v>868.36483999999996</v>
      </c>
      <c r="M19" s="50">
        <f>F19*'Comparisons 2012-2016'!F$37/100</f>
        <v>127.57398000000001</v>
      </c>
      <c r="N19" s="55">
        <f t="shared" si="3"/>
        <v>2626.26917</v>
      </c>
      <c r="O19" s="4">
        <f>D19*'Comparisons 2012-2016'!G$18/100</f>
        <v>1295.7271249999999</v>
      </c>
      <c r="P19" s="4">
        <f>E19*'Comparisons 2012-2016'!G$30/100</f>
        <v>1008.9049</v>
      </c>
      <c r="Q19" s="4">
        <f>F19*'Comparisons 2012-2016'!G$37/100</f>
        <v>97.144800000000018</v>
      </c>
      <c r="R19" s="6">
        <f t="shared" si="0"/>
        <v>2401.7768249999999</v>
      </c>
      <c r="S19" s="50">
        <f>D19*'Comparisons 2012-2016'!H$18/100</f>
        <v>1158.77575</v>
      </c>
      <c r="T19" s="50">
        <f>E19*'Comparisons 2012-2016'!H$30/100</f>
        <v>1008.433816</v>
      </c>
      <c r="U19" s="50">
        <f>F19*'Comparisons 2012-2016'!H$37/100</f>
        <v>129.63116400000001</v>
      </c>
      <c r="V19" s="55">
        <f t="shared" si="4"/>
        <v>2296.8407299999999</v>
      </c>
      <c r="W19" s="8">
        <f t="shared" si="5"/>
        <v>104.93609500000002</v>
      </c>
      <c r="X19" s="4">
        <f>E19*'Comparisons 2012-2016'!H$29/100</f>
        <v>58.414416000000003</v>
      </c>
      <c r="Y19" s="4">
        <f>F19*'Comparisons 2012-2016'!H$36/100</f>
        <v>42.486564000000001</v>
      </c>
      <c r="Z19" s="8">
        <f t="shared" si="6"/>
        <v>205.83707499999991</v>
      </c>
      <c r="AA19" s="9">
        <f t="shared" si="7"/>
        <v>2195.93975</v>
      </c>
      <c r="AB19" s="4"/>
      <c r="AC19" s="7">
        <f t="shared" si="8"/>
        <v>9.373530170852816E-2</v>
      </c>
    </row>
    <row r="20" spans="1:29" x14ac:dyDescent="0.2">
      <c r="A20" s="4">
        <v>17</v>
      </c>
      <c r="B20" s="59">
        <f t="shared" si="1"/>
        <v>2.4817939069074858E-2</v>
      </c>
      <c r="C20" s="4">
        <v>97</v>
      </c>
      <c r="D20" s="4">
        <v>2.4531299999999998</v>
      </c>
      <c r="E20" s="4">
        <v>3.3999000000000001</v>
      </c>
      <c r="F20" s="4">
        <v>2.8572000000000002</v>
      </c>
      <c r="G20" s="96">
        <f>D20*'Comparisons 2012-2016'!C$18/100</f>
        <v>1383.2709444</v>
      </c>
      <c r="H20" s="96">
        <f>E20*'Comparisons 2012-2016'!C$30/100</f>
        <v>839.77530000000002</v>
      </c>
      <c r="I20" s="96">
        <f>F20*'Comparisons 2012-2016'!C$37/100</f>
        <v>125.43108000000001</v>
      </c>
      <c r="J20" s="120">
        <f t="shared" si="2"/>
        <v>2348.4773243999998</v>
      </c>
      <c r="K20" s="50">
        <f>D20*'Comparisons 2012-2016'!F$18/100</f>
        <v>1411.9725654000001</v>
      </c>
      <c r="L20" s="50">
        <f>E20*'Comparisons 2012-2016'!F$30/100</f>
        <v>752.05787999999995</v>
      </c>
      <c r="M20" s="50">
        <f>F20*'Comparisons 2012-2016'!F$37/100</f>
        <v>127.57398000000001</v>
      </c>
      <c r="N20" s="55">
        <f t="shared" si="3"/>
        <v>2291.6044254000003</v>
      </c>
      <c r="O20" s="4">
        <f>D20*'Comparisons 2012-2016'!G$18/100</f>
        <v>1122.1843185</v>
      </c>
      <c r="P20" s="4">
        <f>E20*'Comparisons 2012-2016'!G$30/100</f>
        <v>873.77430000000004</v>
      </c>
      <c r="Q20" s="4">
        <f>F20*'Comparisons 2012-2016'!G$37/100</f>
        <v>97.144800000000018</v>
      </c>
      <c r="R20" s="6">
        <f t="shared" si="0"/>
        <v>2093.1034184999999</v>
      </c>
      <c r="S20" s="50">
        <f>D20*'Comparisons 2012-2016'!H$18/100</f>
        <v>1003.575483</v>
      </c>
      <c r="T20" s="50">
        <f>E20*'Comparisons 2012-2016'!H$30/100</f>
        <v>873.36631199999999</v>
      </c>
      <c r="U20" s="50">
        <f>F20*'Comparisons 2012-2016'!H$37/100</f>
        <v>129.63116400000001</v>
      </c>
      <c r="V20" s="55">
        <f t="shared" si="4"/>
        <v>2006.5729590000001</v>
      </c>
      <c r="W20" s="8">
        <f t="shared" si="5"/>
        <v>86.530459499999779</v>
      </c>
      <c r="X20" s="4">
        <f>E20*'Comparisons 2012-2016'!H$29/100</f>
        <v>50.590511999999997</v>
      </c>
      <c r="Y20" s="4">
        <f>F20*'Comparisons 2012-2016'!H$36/100</f>
        <v>42.486564000000001</v>
      </c>
      <c r="Z20" s="8">
        <f t="shared" si="6"/>
        <v>179.60753549999981</v>
      </c>
      <c r="AA20" s="9">
        <f t="shared" si="7"/>
        <v>1913.495883</v>
      </c>
      <c r="AB20" s="4"/>
      <c r="AC20" s="7">
        <f t="shared" si="8"/>
        <v>9.3863559935341553E-2</v>
      </c>
    </row>
    <row r="21" spans="1:29" x14ac:dyDescent="0.2">
      <c r="A21" s="4">
        <v>18</v>
      </c>
      <c r="B21" s="59">
        <f t="shared" si="1"/>
        <v>2.523465070145571E-2</v>
      </c>
      <c r="C21" s="5">
        <v>118</v>
      </c>
      <c r="D21" s="4">
        <v>2.9842200000000001</v>
      </c>
      <c r="E21" s="4">
        <v>4.1360000000000001</v>
      </c>
      <c r="F21" s="4">
        <v>2.8572000000000002</v>
      </c>
      <c r="G21" s="96">
        <f>D21*'Comparisons 2012-2016'!C$18/100</f>
        <v>1682.7419735999999</v>
      </c>
      <c r="H21" s="96">
        <f>E21*'Comparisons 2012-2016'!C$30/100</f>
        <v>1021.592</v>
      </c>
      <c r="I21" s="96">
        <f>F21*'Comparisons 2012-2016'!C$37/100</f>
        <v>125.43108000000001</v>
      </c>
      <c r="J21" s="120">
        <f t="shared" si="2"/>
        <v>2829.7650535999996</v>
      </c>
      <c r="K21" s="50">
        <f>D21*'Comparisons 2012-2016'!F$18/100</f>
        <v>1717.6573475999999</v>
      </c>
      <c r="L21" s="50">
        <f>E21*'Comparisons 2012-2016'!F$30/100</f>
        <v>914.8832000000001</v>
      </c>
      <c r="M21" s="50">
        <f>F21*'Comparisons 2012-2016'!F$37/100</f>
        <v>127.57398000000001</v>
      </c>
      <c r="N21" s="55">
        <f t="shared" si="3"/>
        <v>2760.1145276000002</v>
      </c>
      <c r="O21" s="4">
        <f>D21*'Comparisons 2012-2016'!G$18/100</f>
        <v>1365.131439</v>
      </c>
      <c r="P21" s="4">
        <f>E21*'Comparisons 2012-2016'!G$30/100</f>
        <v>1062.952</v>
      </c>
      <c r="Q21" s="4">
        <f>F21*'Comparisons 2012-2016'!G$37/100</f>
        <v>97.144800000000018</v>
      </c>
      <c r="R21" s="6">
        <f t="shared" si="0"/>
        <v>2525.228239</v>
      </c>
      <c r="S21" s="50">
        <f>D21*'Comparisons 2012-2016'!H$18/100</f>
        <v>1220.8444019999999</v>
      </c>
      <c r="T21" s="50">
        <f>E21*'Comparisons 2012-2016'!H$30/100</f>
        <v>1062.45568</v>
      </c>
      <c r="U21" s="50">
        <f>F21*'Comparisons 2012-2016'!H$37/100</f>
        <v>129.63116400000001</v>
      </c>
      <c r="V21" s="55">
        <f t="shared" si="4"/>
        <v>2412.9312459999996</v>
      </c>
      <c r="W21" s="8">
        <f t="shared" si="5"/>
        <v>112.29699300000038</v>
      </c>
      <c r="X21" s="4">
        <f>E21*'Comparisons 2012-2016'!H$29/100</f>
        <v>61.543680000000002</v>
      </c>
      <c r="Y21" s="4">
        <f>F21*'Comparisons 2012-2016'!H$36/100</f>
        <v>42.486564000000001</v>
      </c>
      <c r="Z21" s="8">
        <f t="shared" si="6"/>
        <v>216.32723700000042</v>
      </c>
      <c r="AA21" s="9">
        <f t="shared" si="7"/>
        <v>2308.9010019999996</v>
      </c>
      <c r="AB21" s="4"/>
      <c r="AC21" s="7">
        <f t="shared" si="8"/>
        <v>9.3692729490183854E-2</v>
      </c>
    </row>
    <row r="22" spans="1:29" x14ac:dyDescent="0.2">
      <c r="A22" s="4">
        <v>19</v>
      </c>
      <c r="B22" s="59">
        <f t="shared" si="1"/>
        <v>2.4794272707815042E-2</v>
      </c>
      <c r="C22" s="4">
        <v>96</v>
      </c>
      <c r="D22" s="4">
        <v>2.4278400000000002</v>
      </c>
      <c r="E22" s="4">
        <v>3.3649</v>
      </c>
      <c r="F22" s="4">
        <v>2.8572000000000002</v>
      </c>
      <c r="G22" s="96">
        <f>D22*'Comparisons 2012-2016'!C$18/100</f>
        <v>1369.0104192000001</v>
      </c>
      <c r="H22" s="96">
        <f>E22*'Comparisons 2012-2016'!C$30/100</f>
        <v>831.13030000000003</v>
      </c>
      <c r="I22" s="96">
        <f>F22*'Comparisons 2012-2016'!C$37/100</f>
        <v>125.43108000000001</v>
      </c>
      <c r="J22" s="120">
        <f t="shared" si="2"/>
        <v>2325.5717992</v>
      </c>
      <c r="K22" s="50">
        <f>D22*'Comparisons 2012-2016'!F$18/100</f>
        <v>1397.4161472000001</v>
      </c>
      <c r="L22" s="50">
        <f>E22*'Comparisons 2012-2016'!F$30/100</f>
        <v>744.31587999999999</v>
      </c>
      <c r="M22" s="50">
        <f>F22*'Comparisons 2012-2016'!F$37/100</f>
        <v>127.57398000000001</v>
      </c>
      <c r="N22" s="55">
        <f t="shared" si="3"/>
        <v>2269.3060072000003</v>
      </c>
      <c r="O22" s="4">
        <f>D22*'Comparisons 2012-2016'!G$18/100</f>
        <v>1110.6154080000001</v>
      </c>
      <c r="P22" s="4">
        <f>E22*'Comparisons 2012-2016'!G$30/100</f>
        <v>864.77929999999992</v>
      </c>
      <c r="Q22" s="4">
        <f>F22*'Comparisons 2012-2016'!G$37/100</f>
        <v>97.144800000000018</v>
      </c>
      <c r="R22" s="6">
        <f t="shared" si="0"/>
        <v>2072.5395079999998</v>
      </c>
      <c r="S22" s="50">
        <f>D22*'Comparisons 2012-2016'!H$18/100</f>
        <v>993.22934400000008</v>
      </c>
      <c r="T22" s="50">
        <f>E22*'Comparisons 2012-2016'!H$30/100</f>
        <v>864.37551200000007</v>
      </c>
      <c r="U22" s="50">
        <f>F22*'Comparisons 2012-2016'!H$37/100</f>
        <v>129.63116400000001</v>
      </c>
      <c r="V22" s="55">
        <f t="shared" si="4"/>
        <v>1987.2360200000003</v>
      </c>
      <c r="W22" s="8">
        <f t="shared" si="5"/>
        <v>85.303487999999561</v>
      </c>
      <c r="X22" s="4">
        <f>E22*'Comparisons 2012-2016'!H$29/100</f>
        <v>50.069712000000003</v>
      </c>
      <c r="Y22" s="4">
        <f>F22*'Comparisons 2012-2016'!H$36/100</f>
        <v>42.486564000000001</v>
      </c>
      <c r="Z22" s="8">
        <f t="shared" si="6"/>
        <v>177.85976399999959</v>
      </c>
      <c r="AA22" s="9">
        <f t="shared" si="7"/>
        <v>1894.6797440000003</v>
      </c>
      <c r="AB22" s="4"/>
      <c r="AC22" s="7">
        <f t="shared" si="8"/>
        <v>9.3873259881116652E-2</v>
      </c>
    </row>
    <row r="23" spans="1:29" x14ac:dyDescent="0.2">
      <c r="A23" s="4">
        <v>20</v>
      </c>
      <c r="B23" s="59">
        <f t="shared" si="1"/>
        <v>2.4639036848837316E-2</v>
      </c>
      <c r="C23" s="4">
        <v>90</v>
      </c>
      <c r="D23" s="4">
        <v>2.2761</v>
      </c>
      <c r="E23" s="4">
        <v>3.1545999999999998</v>
      </c>
      <c r="F23" s="4">
        <v>2.8572000000000002</v>
      </c>
      <c r="G23" s="96">
        <f>D23*'Comparisons 2012-2016'!C$18/100</f>
        <v>1283.4472680000001</v>
      </c>
      <c r="H23" s="146">
        <f>E23*'Comparisons 2012-2016'!C$30/100</f>
        <v>779.18619999999999</v>
      </c>
      <c r="I23" s="96">
        <f>F23*'Comparisons 2012-2016'!C$37/100</f>
        <v>125.43108000000001</v>
      </c>
      <c r="J23" s="120">
        <f t="shared" si="2"/>
        <v>2188.0645479999998</v>
      </c>
      <c r="K23" s="50">
        <f>D23*'Comparisons 2012-2016'!F$18/100</f>
        <v>1310.077638</v>
      </c>
      <c r="L23" s="50">
        <f>E23*'Comparisons 2012-2016'!F$30/100</f>
        <v>697.79751999999996</v>
      </c>
      <c r="M23" s="50">
        <f>F23*'Comparisons 2012-2016'!F$37/100</f>
        <v>127.57398000000001</v>
      </c>
      <c r="N23" s="55">
        <f t="shared" si="3"/>
        <v>2135.4491379999999</v>
      </c>
      <c r="O23" s="4">
        <f>D23*'Comparisons 2012-2016'!G$18/100</f>
        <v>1041.201945</v>
      </c>
      <c r="P23" s="4">
        <f>E23*'Comparisons 2012-2016'!G$30/100</f>
        <v>810.73220000000003</v>
      </c>
      <c r="Q23" s="4">
        <f>F23*'Comparisons 2012-2016'!G$37/100</f>
        <v>97.144800000000018</v>
      </c>
      <c r="R23" s="6">
        <f t="shared" si="0"/>
        <v>1949.0789450000002</v>
      </c>
      <c r="S23" s="50">
        <f>D23*'Comparisons 2012-2016'!H$18/100</f>
        <v>931.15251000000001</v>
      </c>
      <c r="T23" s="50">
        <f>E23*'Comparisons 2012-2016'!H$30/100</f>
        <v>810.35364799999991</v>
      </c>
      <c r="U23" s="50">
        <f>F23*'Comparisons 2012-2016'!H$37/100</f>
        <v>129.63116400000001</v>
      </c>
      <c r="V23" s="55">
        <f t="shared" si="4"/>
        <v>1871.137322</v>
      </c>
      <c r="W23" s="8">
        <f t="shared" si="5"/>
        <v>77.941623000000163</v>
      </c>
      <c r="X23" s="4">
        <f>E23*'Comparisons 2012-2016'!H$29/100</f>
        <v>46.940447999999996</v>
      </c>
      <c r="Y23" s="4">
        <f>F23*'Comparisons 2012-2016'!H$36/100</f>
        <v>42.486564000000001</v>
      </c>
      <c r="Z23" s="8">
        <f t="shared" si="6"/>
        <v>167.36863500000027</v>
      </c>
      <c r="AA23" s="9">
        <f t="shared" si="7"/>
        <v>1781.7103099999999</v>
      </c>
      <c r="AB23" s="4"/>
      <c r="AC23" s="7">
        <f t="shared" si="8"/>
        <v>9.3937063764310977E-2</v>
      </c>
    </row>
    <row r="24" spans="1:29" x14ac:dyDescent="0.2">
      <c r="A24" s="4">
        <v>21</v>
      </c>
      <c r="B24" s="59">
        <f t="shared" si="1"/>
        <v>2.4492847088412584E-2</v>
      </c>
      <c r="C24" s="4">
        <v>85</v>
      </c>
      <c r="D24" s="4">
        <v>2.1497000000000002</v>
      </c>
      <c r="E24" s="4">
        <v>2.9792999999999998</v>
      </c>
      <c r="F24" s="4">
        <v>2.8572000000000002</v>
      </c>
      <c r="G24" s="96">
        <f>D24*'Comparisons 2012-2016'!C$18/100</f>
        <v>1212.1728360000002</v>
      </c>
      <c r="H24" s="146">
        <f>E24*'Comparisons 2012-2016'!C$30/100</f>
        <v>735.88709999999992</v>
      </c>
      <c r="I24" s="96">
        <f>F24*'Comparisons 2012-2016'!C$37/100</f>
        <v>125.43108000000001</v>
      </c>
      <c r="J24" s="120">
        <f t="shared" si="2"/>
        <v>2073.4910159999999</v>
      </c>
      <c r="K24" s="50">
        <f>D24*'Comparisons 2012-2016'!F$18/100</f>
        <v>1237.3243260000002</v>
      </c>
      <c r="L24" s="50">
        <f>E24*'Comparisons 2012-2016'!F$30/100</f>
        <v>659.0211599999999</v>
      </c>
      <c r="M24" s="50">
        <f>F24*'Comparisons 2012-2016'!F$37/100</f>
        <v>127.57398000000001</v>
      </c>
      <c r="N24" s="55">
        <f t="shared" si="3"/>
        <v>2023.9194660000003</v>
      </c>
      <c r="O24" s="4">
        <f>D24*'Comparisons 2012-2016'!G$18/100</f>
        <v>983.38026500000012</v>
      </c>
      <c r="P24" s="4">
        <f>E24*'Comparisons 2012-2016'!G$30/100</f>
        <v>765.68009999999992</v>
      </c>
      <c r="Q24" s="4">
        <f>F24*'Comparisons 2012-2016'!G$37/100</f>
        <v>97.144800000000018</v>
      </c>
      <c r="R24" s="6">
        <f t="shared" si="0"/>
        <v>1846.2051650000001</v>
      </c>
      <c r="S24" s="50">
        <f>D24*'Comparisons 2012-2016'!H$18/100</f>
        <v>879.44227000000012</v>
      </c>
      <c r="T24" s="50">
        <f>E24*'Comparisons 2012-2016'!H$30/100</f>
        <v>765.32258399999989</v>
      </c>
      <c r="U24" s="50">
        <f>F24*'Comparisons 2012-2016'!H$37/100</f>
        <v>129.63116400000001</v>
      </c>
      <c r="V24" s="55">
        <f t="shared" si="4"/>
        <v>1774.3960179999999</v>
      </c>
      <c r="W24" s="8">
        <f t="shared" si="5"/>
        <v>71.809147000000166</v>
      </c>
      <c r="X24" s="4">
        <f>E24*'Comparisons 2012-2016'!H$29/100</f>
        <v>44.331983999999991</v>
      </c>
      <c r="Y24" s="4">
        <f>F24*'Comparisons 2012-2016'!H$36/100</f>
        <v>42.486564000000001</v>
      </c>
      <c r="Z24" s="8">
        <f t="shared" si="6"/>
        <v>158.62769500000013</v>
      </c>
      <c r="AA24" s="9">
        <f t="shared" si="7"/>
        <v>1687.5774699999999</v>
      </c>
      <c r="AB24" s="4"/>
      <c r="AC24" s="7">
        <f t="shared" si="8"/>
        <v>9.3997281795898904E-2</v>
      </c>
    </row>
    <row r="25" spans="1:29" x14ac:dyDescent="0.2">
      <c r="A25" s="4">
        <v>22</v>
      </c>
      <c r="B25" s="59">
        <f t="shared" si="1"/>
        <v>2.4524262882535577E-2</v>
      </c>
      <c r="C25" s="4">
        <v>86</v>
      </c>
      <c r="D25" s="4">
        <v>2.1749399999999999</v>
      </c>
      <c r="E25" s="4">
        <v>3.0144000000000002</v>
      </c>
      <c r="F25" s="4">
        <v>2.8572000000000002</v>
      </c>
      <c r="G25" s="96">
        <f>D25*'Comparisons 2012-2016'!C$18/100</f>
        <v>1226.4051672000001</v>
      </c>
      <c r="H25" s="146">
        <f>E25*'Comparisons 2012-2016'!C$30/100</f>
        <v>744.55680000000007</v>
      </c>
      <c r="I25" s="96">
        <f>F25*'Comparisons 2012-2016'!C$37/100</f>
        <v>125.43108000000001</v>
      </c>
      <c r="J25" s="120">
        <f t="shared" si="2"/>
        <v>2096.3930472000002</v>
      </c>
      <c r="K25" s="50">
        <f>D25*'Comparisons 2012-2016'!F$18/100</f>
        <v>1251.8519652</v>
      </c>
      <c r="L25" s="50">
        <f>E25*'Comparisons 2012-2016'!F$30/100</f>
        <v>666.78528000000006</v>
      </c>
      <c r="M25" s="50">
        <f>F25*'Comparisons 2012-2016'!F$37/100</f>
        <v>127.57398000000001</v>
      </c>
      <c r="N25" s="55">
        <f t="shared" si="3"/>
        <v>2046.2112252000002</v>
      </c>
      <c r="O25" s="4">
        <f>D25*'Comparisons 2012-2016'!G$18/100</f>
        <v>994.92630299999985</v>
      </c>
      <c r="P25" s="4">
        <f>E25*'Comparisons 2012-2016'!G$30/100</f>
        <v>774.70080000000007</v>
      </c>
      <c r="Q25" s="4">
        <f>F25*'Comparisons 2012-2016'!G$37/100</f>
        <v>97.144800000000018</v>
      </c>
      <c r="R25" s="6">
        <f t="shared" si="0"/>
        <v>1866.7719029999998</v>
      </c>
      <c r="S25" s="50">
        <f>D25*'Comparisons 2012-2016'!H$18/100</f>
        <v>889.76795399999992</v>
      </c>
      <c r="T25" s="50">
        <f>E25*'Comparisons 2012-2016'!H$30/100</f>
        <v>774.33907199999999</v>
      </c>
      <c r="U25" s="50">
        <f>F25*'Comparisons 2012-2016'!H$37/100</f>
        <v>129.63116400000001</v>
      </c>
      <c r="V25" s="55">
        <f t="shared" si="4"/>
        <v>1793.73819</v>
      </c>
      <c r="W25" s="8">
        <f t="shared" si="5"/>
        <v>73.033712999999807</v>
      </c>
      <c r="X25" s="4">
        <f>E25*'Comparisons 2012-2016'!H$29/100</f>
        <v>44.854272000000002</v>
      </c>
      <c r="Y25" s="4">
        <f>F25*'Comparisons 2012-2016'!H$36/100</f>
        <v>42.486564000000001</v>
      </c>
      <c r="Z25" s="8">
        <f t="shared" si="6"/>
        <v>160.37454899999989</v>
      </c>
      <c r="AA25" s="9">
        <f t="shared" si="7"/>
        <v>1706.397354</v>
      </c>
      <c r="AB25" s="4"/>
      <c r="AC25" s="7">
        <f t="shared" si="8"/>
        <v>9.3984293062845364E-2</v>
      </c>
    </row>
    <row r="26" spans="1:29" x14ac:dyDescent="0.2">
      <c r="A26" s="4">
        <v>23</v>
      </c>
      <c r="B26" s="59">
        <f t="shared" si="1"/>
        <v>2.4610770496846204E-2</v>
      </c>
      <c r="C26" s="4">
        <v>89</v>
      </c>
      <c r="D26" s="4">
        <v>2.25081</v>
      </c>
      <c r="E26" s="4">
        <v>3.1194999999999999</v>
      </c>
      <c r="F26" s="4">
        <v>2.8572000000000002</v>
      </c>
      <c r="G26" s="96">
        <f>D26*'Comparisons 2012-2016'!C$18/100</f>
        <v>1269.1867427999998</v>
      </c>
      <c r="H26" s="146">
        <f>E26*'Comparisons 2012-2016'!C$30/100</f>
        <v>770.51649999999995</v>
      </c>
      <c r="I26" s="96">
        <f>F26*'Comparisons 2012-2016'!C$37/100</f>
        <v>125.43108000000001</v>
      </c>
      <c r="J26" s="120">
        <f t="shared" si="2"/>
        <v>2165.1343227999996</v>
      </c>
      <c r="K26" s="50">
        <f>D26*'Comparisons 2012-2016'!F$18/100</f>
        <v>1295.5212197999999</v>
      </c>
      <c r="L26" s="50">
        <f>E26*'Comparisons 2012-2016'!F$30/100</f>
        <v>690.03339999999992</v>
      </c>
      <c r="M26" s="50">
        <f>F26*'Comparisons 2012-2016'!F$37/100</f>
        <v>127.57398000000001</v>
      </c>
      <c r="N26" s="55">
        <f t="shared" si="3"/>
        <v>2113.1285997999998</v>
      </c>
      <c r="O26" s="4">
        <f>D26*'Comparisons 2012-2016'!G$18/100</f>
        <v>1029.6330344999999</v>
      </c>
      <c r="P26" s="4">
        <f>E26*'Comparisons 2012-2016'!G$30/100</f>
        <v>801.71149999999989</v>
      </c>
      <c r="Q26" s="4">
        <f>F26*'Comparisons 2012-2016'!G$37/100</f>
        <v>97.144800000000018</v>
      </c>
      <c r="R26" s="6">
        <f t="shared" si="0"/>
        <v>1928.4893344999998</v>
      </c>
      <c r="S26" s="50">
        <f>D26*'Comparisons 2012-2016'!H$18/100</f>
        <v>920.8063709999999</v>
      </c>
      <c r="T26" s="50">
        <f>E26*'Comparisons 2012-2016'!H$30/100</f>
        <v>801.33716000000004</v>
      </c>
      <c r="U26" s="50">
        <f>F26*'Comparisons 2012-2016'!H$37/100</f>
        <v>129.63116400000001</v>
      </c>
      <c r="V26" s="55">
        <f t="shared" si="4"/>
        <v>1851.7746950000001</v>
      </c>
      <c r="W26" s="8">
        <f t="shared" si="5"/>
        <v>76.714639499999748</v>
      </c>
      <c r="X26" s="4">
        <f>E26*'Comparisons 2012-2016'!H$29/100</f>
        <v>46.41816</v>
      </c>
      <c r="Y26" s="4">
        <f>F26*'Comparisons 2012-2016'!H$36/100</f>
        <v>42.486564000000001</v>
      </c>
      <c r="Z26" s="8">
        <f t="shared" si="6"/>
        <v>165.61936349999974</v>
      </c>
      <c r="AA26" s="9">
        <f t="shared" si="7"/>
        <v>1762.8699710000001</v>
      </c>
      <c r="AB26" s="4"/>
      <c r="AC26" s="7">
        <f t="shared" si="8"/>
        <v>9.3948712170785362E-2</v>
      </c>
    </row>
    <row r="27" spans="1:29" x14ac:dyDescent="0.2">
      <c r="A27" s="4">
        <v>24</v>
      </c>
      <c r="B27" s="59">
        <f t="shared" si="1"/>
        <v>2.4842026817744483E-2</v>
      </c>
      <c r="C27" s="4">
        <v>98</v>
      </c>
      <c r="D27" s="4">
        <v>2.4784199999999998</v>
      </c>
      <c r="E27" s="4">
        <v>3.4350000000000001</v>
      </c>
      <c r="F27" s="4">
        <v>2.8572000000000002</v>
      </c>
      <c r="G27" s="96">
        <f>D27*'Comparisons 2012-2016'!C$18/100</f>
        <v>1397.5314695999998</v>
      </c>
      <c r="H27" s="146">
        <f>E27*'Comparisons 2012-2016'!C$30/100</f>
        <v>848.44500000000005</v>
      </c>
      <c r="I27" s="96">
        <f>F27*'Comparisons 2012-2016'!C$37/100</f>
        <v>125.43108000000001</v>
      </c>
      <c r="J27" s="120">
        <f t="shared" si="2"/>
        <v>2371.4075495999996</v>
      </c>
      <c r="K27" s="50">
        <f>D27*'Comparisons 2012-2016'!F$18/100</f>
        <v>1426.5289835999999</v>
      </c>
      <c r="L27" s="50">
        <f>E27*'Comparisons 2012-2016'!F$30/100</f>
        <v>759.822</v>
      </c>
      <c r="M27" s="50">
        <f>F27*'Comparisons 2012-2016'!F$37/100</f>
        <v>127.57398000000001</v>
      </c>
      <c r="N27" s="55">
        <f t="shared" si="3"/>
        <v>2313.9249636</v>
      </c>
      <c r="O27" s="4">
        <f>D27*'Comparisons 2012-2016'!G$18/100</f>
        <v>1133.7532289999999</v>
      </c>
      <c r="P27" s="4">
        <f>E27*'Comparisons 2012-2016'!G$30/100</f>
        <v>882.79499999999996</v>
      </c>
      <c r="Q27" s="4">
        <f>F27*'Comparisons 2012-2016'!G$37/100</f>
        <v>97.144800000000018</v>
      </c>
      <c r="R27" s="6">
        <f t="shared" si="0"/>
        <v>2113.693029</v>
      </c>
      <c r="S27" s="50">
        <f>D27*'Comparisons 2012-2016'!H$18/100</f>
        <v>1013.921622</v>
      </c>
      <c r="T27" s="50">
        <f>E27*'Comparisons 2012-2016'!H$30/100</f>
        <v>882.38279999999997</v>
      </c>
      <c r="U27" s="50">
        <f>F27*'Comparisons 2012-2016'!H$37/100</f>
        <v>129.63116400000001</v>
      </c>
      <c r="V27" s="55">
        <f t="shared" si="4"/>
        <v>2025.9355860000001</v>
      </c>
      <c r="W27" s="8">
        <f t="shared" si="5"/>
        <v>87.757442999999967</v>
      </c>
      <c r="X27" s="4">
        <f>E27*'Comparisons 2012-2016'!H$29/100</f>
        <v>51.1128</v>
      </c>
      <c r="Y27" s="4">
        <f>F27*'Comparisons 2012-2016'!H$36/100</f>
        <v>42.486564000000001</v>
      </c>
      <c r="Z27" s="8">
        <f t="shared" si="6"/>
        <v>181.35680700000012</v>
      </c>
      <c r="AA27" s="9">
        <f t="shared" si="7"/>
        <v>1932.3362219999999</v>
      </c>
      <c r="AB27" s="4"/>
      <c r="AC27" s="7">
        <f t="shared" si="8"/>
        <v>9.3853649760957655E-2</v>
      </c>
    </row>
    <row r="28" spans="1:29" x14ac:dyDescent="0.2">
      <c r="A28" s="4">
        <v>25</v>
      </c>
      <c r="B28" s="59">
        <f t="shared" si="1"/>
        <v>2.523465070145571E-2</v>
      </c>
      <c r="C28" s="5">
        <v>118</v>
      </c>
      <c r="D28" s="4">
        <v>2.9842200000000001</v>
      </c>
      <c r="E28" s="4">
        <v>4.1360000000000001</v>
      </c>
      <c r="F28" s="4">
        <v>2.8572000000000002</v>
      </c>
      <c r="G28" s="96">
        <f>D28*'Comparisons 2012-2016'!C$18/100</f>
        <v>1682.7419735999999</v>
      </c>
      <c r="H28" s="146">
        <f>E28*'Comparisons 2012-2016'!C$30/100</f>
        <v>1021.592</v>
      </c>
      <c r="I28" s="96">
        <f>F28*'Comparisons 2012-2016'!C$37/100</f>
        <v>125.43108000000001</v>
      </c>
      <c r="J28" s="120">
        <f t="shared" si="2"/>
        <v>2829.7650535999996</v>
      </c>
      <c r="K28" s="50">
        <f>D28*'Comparisons 2012-2016'!F$18/100</f>
        <v>1717.6573475999999</v>
      </c>
      <c r="L28" s="50">
        <f>E28*'Comparisons 2012-2016'!F$30/100</f>
        <v>914.8832000000001</v>
      </c>
      <c r="M28" s="50">
        <f>F28*'Comparisons 2012-2016'!F$37/100</f>
        <v>127.57398000000001</v>
      </c>
      <c r="N28" s="55">
        <f t="shared" si="3"/>
        <v>2760.1145276000002</v>
      </c>
      <c r="O28" s="4">
        <f>D28*'Comparisons 2012-2016'!G$18/100</f>
        <v>1365.131439</v>
      </c>
      <c r="P28" s="4">
        <f>E28*'Comparisons 2012-2016'!G$30/100</f>
        <v>1062.952</v>
      </c>
      <c r="Q28" s="4">
        <f>F28*'Comparisons 2012-2016'!G$37/100</f>
        <v>97.144800000000018</v>
      </c>
      <c r="R28" s="6">
        <f t="shared" si="0"/>
        <v>2525.228239</v>
      </c>
      <c r="S28" s="50">
        <f>D28*'Comparisons 2012-2016'!H$18/100</f>
        <v>1220.8444019999999</v>
      </c>
      <c r="T28" s="50">
        <f>E28*'Comparisons 2012-2016'!H$30/100</f>
        <v>1062.45568</v>
      </c>
      <c r="U28" s="50">
        <f>F28*'Comparisons 2012-2016'!H$37/100</f>
        <v>129.63116400000001</v>
      </c>
      <c r="V28" s="55">
        <f t="shared" si="4"/>
        <v>2412.9312459999996</v>
      </c>
      <c r="W28" s="8">
        <f t="shared" si="5"/>
        <v>112.29699300000038</v>
      </c>
      <c r="X28" s="4">
        <f>E28*'Comparisons 2012-2016'!H$29/100</f>
        <v>61.543680000000002</v>
      </c>
      <c r="Y28" s="4">
        <f>F28*'Comparisons 2012-2016'!H$36/100</f>
        <v>42.486564000000001</v>
      </c>
      <c r="Z28" s="8">
        <f t="shared" si="6"/>
        <v>216.32723700000042</v>
      </c>
      <c r="AA28" s="9">
        <f t="shared" si="7"/>
        <v>2308.9010019999996</v>
      </c>
      <c r="AB28" s="4"/>
      <c r="AC28" s="7">
        <f t="shared" si="8"/>
        <v>9.3692729490183854E-2</v>
      </c>
    </row>
    <row r="29" spans="1:29" x14ac:dyDescent="0.2">
      <c r="A29" s="4">
        <v>26</v>
      </c>
      <c r="B29" s="59">
        <f t="shared" si="1"/>
        <v>2.4768654693461175E-2</v>
      </c>
      <c r="C29" s="4">
        <v>95</v>
      </c>
      <c r="D29" s="4">
        <v>2.4026000000000001</v>
      </c>
      <c r="E29" s="4">
        <v>3.3298000000000001</v>
      </c>
      <c r="F29" s="4">
        <v>2.8572000000000002</v>
      </c>
      <c r="G29" s="96">
        <f>D29*'Comparisons 2012-2016'!C$18/100</f>
        <v>1354.778088</v>
      </c>
      <c r="H29" s="96">
        <f>E29*'Comparisons 2012-2016'!C$30/100</f>
        <v>822.4606</v>
      </c>
      <c r="I29" s="96">
        <f>F29*'Comparisons 2012-2016'!C$37/100</f>
        <v>125.43108000000001</v>
      </c>
      <c r="J29" s="120">
        <f t="shared" si="2"/>
        <v>2302.6697679999997</v>
      </c>
      <c r="K29" s="50">
        <f>D29*'Comparisons 2012-2016'!F$18/100</f>
        <v>1382.8885080000002</v>
      </c>
      <c r="L29" s="50">
        <f>E29*'Comparisons 2012-2016'!F$30/100</f>
        <v>736.55176000000006</v>
      </c>
      <c r="M29" s="50">
        <f>F29*'Comparisons 2012-2016'!F$37/100</f>
        <v>127.57398000000001</v>
      </c>
      <c r="N29" s="55">
        <f t="shared" si="3"/>
        <v>2247.0142480000004</v>
      </c>
      <c r="O29" s="4">
        <f>D29*'Comparisons 2012-2016'!G$18/100</f>
        <v>1099.0693700000002</v>
      </c>
      <c r="P29" s="4">
        <f>E29*'Comparisons 2012-2016'!G$30/100</f>
        <v>855.7586</v>
      </c>
      <c r="Q29" s="4">
        <f>F29*'Comparisons 2012-2016'!G$37/100</f>
        <v>97.144800000000018</v>
      </c>
      <c r="R29" s="6">
        <f t="shared" si="0"/>
        <v>2051.9727700000003</v>
      </c>
      <c r="S29" s="50">
        <f>D29*'Comparisons 2012-2016'!H$18/100</f>
        <v>982.90366000000006</v>
      </c>
      <c r="T29" s="50">
        <f>E29*'Comparisons 2012-2016'!H$30/100</f>
        <v>855.35902400000009</v>
      </c>
      <c r="U29" s="50">
        <f>F29*'Comparisons 2012-2016'!H$37/100</f>
        <v>129.63116400000001</v>
      </c>
      <c r="V29" s="55">
        <f t="shared" si="4"/>
        <v>1967.8938480000002</v>
      </c>
      <c r="W29" s="8">
        <f t="shared" si="5"/>
        <v>84.078922000000148</v>
      </c>
      <c r="X29" s="4">
        <f>E29*'Comparisons 2012-2016'!H$29/100</f>
        <v>49.547423999999999</v>
      </c>
      <c r="Y29" s="4">
        <f>F29*'Comparisons 2012-2016'!H$36/100</f>
        <v>42.486564000000001</v>
      </c>
      <c r="Z29" s="8">
        <f t="shared" si="6"/>
        <v>176.11291000000028</v>
      </c>
      <c r="AA29" s="9">
        <f t="shared" si="7"/>
        <v>1875.85986</v>
      </c>
      <c r="AB29" s="4"/>
      <c r="AC29" s="7">
        <f t="shared" si="8"/>
        <v>9.3883830959526099E-2</v>
      </c>
    </row>
    <row r="30" spans="1:29" x14ac:dyDescent="0.2">
      <c r="A30" s="4">
        <v>27</v>
      </c>
      <c r="B30" s="59">
        <f t="shared" si="1"/>
        <v>2.4398758444332241E-2</v>
      </c>
      <c r="C30" s="4">
        <v>82</v>
      </c>
      <c r="D30" s="4">
        <v>2.0737999999999999</v>
      </c>
      <c r="E30" s="4">
        <v>2.8742000000000001</v>
      </c>
      <c r="F30" s="4">
        <v>2.8572000000000002</v>
      </c>
      <c r="G30" s="96">
        <f>D30*'Comparisons 2012-2016'!C$18/100</f>
        <v>1169.3743440000001</v>
      </c>
      <c r="H30" s="96">
        <f>E30*'Comparisons 2012-2016'!C$30/100</f>
        <v>709.92740000000003</v>
      </c>
      <c r="I30" s="96">
        <f>F30*'Comparisons 2012-2016'!C$37/100</f>
        <v>125.43108000000001</v>
      </c>
      <c r="J30" s="120">
        <f t="shared" si="2"/>
        <v>2004.7328240000002</v>
      </c>
      <c r="K30" s="50">
        <f>D30*'Comparisons 2012-2016'!F$18/100</f>
        <v>1193.637804</v>
      </c>
      <c r="L30" s="50">
        <f>E30*'Comparisons 2012-2016'!F$30/100</f>
        <v>635.77304000000004</v>
      </c>
      <c r="M30" s="50">
        <f>F30*'Comparisons 2012-2016'!F$37/100</f>
        <v>127.57398000000001</v>
      </c>
      <c r="N30" s="55">
        <f t="shared" si="3"/>
        <v>1956.9848240000001</v>
      </c>
      <c r="O30" s="4">
        <f>D30*'Comparisons 2012-2016'!G$18/100</f>
        <v>948.65980999999999</v>
      </c>
      <c r="P30" s="4">
        <f>E30*'Comparisons 2012-2016'!G$30/100</f>
        <v>738.6694</v>
      </c>
      <c r="Q30" s="4">
        <f>F30*'Comparisons 2012-2016'!G$37/100</f>
        <v>97.144800000000018</v>
      </c>
      <c r="R30" s="6">
        <f t="shared" si="0"/>
        <v>1784.4740099999999</v>
      </c>
      <c r="S30" s="50">
        <f>D30*'Comparisons 2012-2016'!H$18/100</f>
        <v>848.39157999999998</v>
      </c>
      <c r="T30" s="50">
        <f>E30*'Comparisons 2012-2016'!H$30/100</f>
        <v>738.32449600000007</v>
      </c>
      <c r="U30" s="50">
        <f>F30*'Comparisons 2012-2016'!H$37/100</f>
        <v>129.63116400000001</v>
      </c>
      <c r="V30" s="55">
        <f t="shared" si="4"/>
        <v>1716.3472400000001</v>
      </c>
      <c r="W30" s="8">
        <f t="shared" si="5"/>
        <v>68.126769999999851</v>
      </c>
      <c r="X30" s="4">
        <f>E30*'Comparisons 2012-2016'!H$29/100</f>
        <v>42.768096000000007</v>
      </c>
      <c r="Y30" s="4">
        <f>F30*'Comparisons 2012-2016'!H$36/100</f>
        <v>42.486564000000001</v>
      </c>
      <c r="Z30" s="8">
        <f t="shared" si="6"/>
        <v>153.38142999999991</v>
      </c>
      <c r="AA30" s="9">
        <f t="shared" si="7"/>
        <v>1631.09258</v>
      </c>
      <c r="AB30" s="4"/>
      <c r="AC30" s="7">
        <f t="shared" si="8"/>
        <v>9.4036004994885028E-2</v>
      </c>
    </row>
    <row r="31" spans="1:29" x14ac:dyDescent="0.2">
      <c r="A31" s="4">
        <v>28</v>
      </c>
      <c r="B31" s="59">
        <f t="shared" si="1"/>
        <v>2.3986521126059781E-2</v>
      </c>
      <c r="C31" s="14">
        <v>71</v>
      </c>
      <c r="D31" s="4">
        <v>1.7956000000000001</v>
      </c>
      <c r="E31" s="4">
        <v>2.4885999999999999</v>
      </c>
      <c r="F31" s="4">
        <v>2.8572000000000002</v>
      </c>
      <c r="G31" s="96">
        <f>D31*'Comparisons 2012-2016'!C$18/100</f>
        <v>1012.5029280000001</v>
      </c>
      <c r="H31" s="96">
        <f>E31*'Comparisons 2012-2016'!C$30/100</f>
        <v>614.68420000000003</v>
      </c>
      <c r="I31" s="96">
        <f>F31*'Comparisons 2012-2016'!C$37/100</f>
        <v>125.43108000000001</v>
      </c>
      <c r="J31" s="120">
        <f t="shared" si="2"/>
        <v>1752.6182080000001</v>
      </c>
      <c r="K31" s="50">
        <f>D31*'Comparisons 2012-2016'!F$18/100</f>
        <v>1033.5114480000002</v>
      </c>
      <c r="L31" s="50">
        <f>E31*'Comparisons 2012-2016'!F$30/100</f>
        <v>550.47831999999994</v>
      </c>
      <c r="M31" s="50">
        <f>F31*'Comparisons 2012-2016'!F$37/100</f>
        <v>127.57398000000001</v>
      </c>
      <c r="N31" s="55">
        <f t="shared" si="3"/>
        <v>1711.563748</v>
      </c>
      <c r="O31" s="4">
        <f>D31*'Comparisons 2012-2016'!G$18/100</f>
        <v>821.39722000000006</v>
      </c>
      <c r="P31" s="4">
        <f>E31*'Comparisons 2012-2016'!G$30/100</f>
        <v>639.5702</v>
      </c>
      <c r="Q31" s="4">
        <f>F31*'Comparisons 2012-2016'!G$37/100</f>
        <v>97.144800000000018</v>
      </c>
      <c r="R31" s="6">
        <f t="shared" si="0"/>
        <v>1558.11222</v>
      </c>
      <c r="S31" s="50">
        <f>D31*'Comparisons 2012-2016'!H$18/100</f>
        <v>734.57996000000003</v>
      </c>
      <c r="T31" s="50">
        <f>E31*'Comparisons 2012-2016'!H$30/100</f>
        <v>639.271568</v>
      </c>
      <c r="U31" s="50">
        <f>F31*'Comparisons 2012-2016'!H$37/100</f>
        <v>129.63116400000001</v>
      </c>
      <c r="V31" s="55">
        <f t="shared" si="4"/>
        <v>1503.482692</v>
      </c>
      <c r="W31" s="8">
        <f t="shared" si="5"/>
        <v>54.629527999999937</v>
      </c>
      <c r="X31" s="4">
        <f>E31*'Comparisons 2012-2016'!H$29/100</f>
        <v>37.030367999999996</v>
      </c>
      <c r="Y31" s="4">
        <f>F31*'Comparisons 2012-2016'!H$36/100</f>
        <v>42.486564000000001</v>
      </c>
      <c r="Z31" s="8">
        <f t="shared" si="6"/>
        <v>134.14645999999993</v>
      </c>
      <c r="AA31" s="9">
        <f t="shared" si="7"/>
        <v>1423.96576</v>
      </c>
      <c r="AB31" s="4"/>
      <c r="AC31" s="7">
        <f t="shared" si="8"/>
        <v>9.4206239902847058E-2</v>
      </c>
    </row>
    <row r="32" spans="1:29" x14ac:dyDescent="0.2">
      <c r="A32" s="4">
        <v>29</v>
      </c>
      <c r="B32" s="59">
        <f t="shared" si="1"/>
        <v>2.4492847088412584E-2</v>
      </c>
      <c r="C32" s="4">
        <v>85</v>
      </c>
      <c r="D32" s="4">
        <v>2.1497000000000002</v>
      </c>
      <c r="E32" s="4">
        <v>2.9792999999999998</v>
      </c>
      <c r="F32" s="4">
        <v>2.8572000000000002</v>
      </c>
      <c r="G32" s="96">
        <f>D32*'Comparisons 2012-2016'!C$18/100</f>
        <v>1212.1728360000002</v>
      </c>
      <c r="H32" s="96">
        <f>E32*'Comparisons 2012-2016'!C$30/100</f>
        <v>735.88709999999992</v>
      </c>
      <c r="I32" s="96">
        <f>F32*'Comparisons 2012-2016'!C$37/100</f>
        <v>125.43108000000001</v>
      </c>
      <c r="J32" s="120">
        <f t="shared" si="2"/>
        <v>2073.4910159999999</v>
      </c>
      <c r="K32" s="50">
        <f>D32*'Comparisons 2012-2016'!F$18/100</f>
        <v>1237.3243260000002</v>
      </c>
      <c r="L32" s="50">
        <f>E32*'Comparisons 2012-2016'!F$30/100</f>
        <v>659.0211599999999</v>
      </c>
      <c r="M32" s="50">
        <f>F32*'Comparisons 2012-2016'!F$37/100</f>
        <v>127.57398000000001</v>
      </c>
      <c r="N32" s="55">
        <f t="shared" si="3"/>
        <v>2023.9194660000003</v>
      </c>
      <c r="O32" s="4">
        <f>D32*'Comparisons 2012-2016'!G$18/100</f>
        <v>983.38026500000012</v>
      </c>
      <c r="P32" s="4">
        <f>E32*'Comparisons 2012-2016'!G$30/100</f>
        <v>765.68009999999992</v>
      </c>
      <c r="Q32" s="4">
        <f>F32*'Comparisons 2012-2016'!G$37/100</f>
        <v>97.144800000000018</v>
      </c>
      <c r="R32" s="6">
        <f t="shared" si="0"/>
        <v>1846.2051650000001</v>
      </c>
      <c r="S32" s="50">
        <f>D32*'Comparisons 2012-2016'!H$18/100</f>
        <v>879.44227000000012</v>
      </c>
      <c r="T32" s="50">
        <f>E32*'Comparisons 2012-2016'!H$30/100</f>
        <v>765.32258399999989</v>
      </c>
      <c r="U32" s="50">
        <f>F32*'Comparisons 2012-2016'!H$37/100</f>
        <v>129.63116400000001</v>
      </c>
      <c r="V32" s="55">
        <f t="shared" si="4"/>
        <v>1774.3960179999999</v>
      </c>
      <c r="W32" s="8">
        <f t="shared" si="5"/>
        <v>71.809147000000166</v>
      </c>
      <c r="X32" s="4">
        <f>E32*'Comparisons 2012-2016'!H$29/100</f>
        <v>44.331983999999991</v>
      </c>
      <c r="Y32" s="4">
        <f>F32*'Comparisons 2012-2016'!H$36/100</f>
        <v>42.486564000000001</v>
      </c>
      <c r="Z32" s="8">
        <f t="shared" si="6"/>
        <v>158.62769500000013</v>
      </c>
      <c r="AA32" s="9">
        <f t="shared" si="7"/>
        <v>1687.5774699999999</v>
      </c>
      <c r="AB32" s="4"/>
      <c r="AC32" s="7">
        <f t="shared" si="8"/>
        <v>9.3997281795898904E-2</v>
      </c>
    </row>
    <row r="33" spans="1:30" x14ac:dyDescent="0.2">
      <c r="A33" s="4">
        <v>30</v>
      </c>
      <c r="B33" s="59">
        <f t="shared" si="1"/>
        <v>2.4909766460723969E-2</v>
      </c>
      <c r="C33" s="5">
        <v>101</v>
      </c>
      <c r="D33" s="4">
        <v>2.5543</v>
      </c>
      <c r="E33" s="4">
        <v>3.5400999999999998</v>
      </c>
      <c r="F33" s="4">
        <v>2.8572000000000002</v>
      </c>
      <c r="G33" s="96">
        <f>D33*'Comparisons 2012-2016'!C$18/100</f>
        <v>1440.3186840000001</v>
      </c>
      <c r="H33" s="96">
        <f>E33*'Comparisons 2012-2016'!C$30/100</f>
        <v>874.40470000000005</v>
      </c>
      <c r="I33" s="96">
        <f>F33*'Comparisons 2012-2016'!C$37/100</f>
        <v>125.43108000000001</v>
      </c>
      <c r="J33" s="120">
        <f t="shared" si="2"/>
        <v>2440.1544639999997</v>
      </c>
      <c r="K33" s="50">
        <f>D33*'Comparisons 2012-2016'!F$18/100</f>
        <v>1470.203994</v>
      </c>
      <c r="L33" s="50">
        <f>E33*'Comparisons 2012-2016'!F$30/100</f>
        <v>783.07011999999997</v>
      </c>
      <c r="M33" s="50">
        <f>F33*'Comparisons 2012-2016'!F$37/100</f>
        <v>127.57398000000001</v>
      </c>
      <c r="N33" s="55">
        <f t="shared" si="3"/>
        <v>2380.8480939999999</v>
      </c>
      <c r="O33" s="4">
        <f>D33*'Comparisons 2012-2016'!G$18/100</f>
        <v>1168.4645350000001</v>
      </c>
      <c r="P33" s="4">
        <f>E33*'Comparisons 2012-2016'!G$30/100</f>
        <v>909.80569999999989</v>
      </c>
      <c r="Q33" s="4">
        <f>F33*'Comparisons 2012-2016'!G$37/100</f>
        <v>97.144800000000018</v>
      </c>
      <c r="R33" s="6">
        <f t="shared" si="0"/>
        <v>2175.415035</v>
      </c>
      <c r="S33" s="50">
        <f>D33*'Comparisons 2012-2016'!H$18/100</f>
        <v>1044.9641300000001</v>
      </c>
      <c r="T33" s="50">
        <f>E33*'Comparisons 2012-2016'!H$30/100</f>
        <v>909.38088800000003</v>
      </c>
      <c r="U33" s="50">
        <f>F33*'Comparisons 2012-2016'!H$37/100</f>
        <v>129.63116400000001</v>
      </c>
      <c r="V33" s="55">
        <f t="shared" si="4"/>
        <v>2083.9761819999999</v>
      </c>
      <c r="W33" s="8">
        <f t="shared" si="5"/>
        <v>91.438853000000108</v>
      </c>
      <c r="X33" s="4">
        <f>E33*'Comparisons 2012-2016'!H$29/100</f>
        <v>52.676687999999992</v>
      </c>
      <c r="Y33" s="4">
        <f>F33*'Comparisons 2012-2016'!H$36/100</f>
        <v>42.486564000000001</v>
      </c>
      <c r="Z33" s="8">
        <f t="shared" si="6"/>
        <v>186.60210500000017</v>
      </c>
      <c r="AA33" s="9">
        <f t="shared" si="7"/>
        <v>1988.8129299999998</v>
      </c>
      <c r="AB33" s="4"/>
      <c r="AC33" s="7">
        <f t="shared" si="8"/>
        <v>9.3825870792181632E-2</v>
      </c>
    </row>
    <row r="34" spans="1:30" x14ac:dyDescent="0.2">
      <c r="A34" s="4">
        <v>31</v>
      </c>
      <c r="B34" s="59">
        <f t="shared" si="1"/>
        <v>-2.0327322005628964E-2</v>
      </c>
      <c r="C34" s="4">
        <v>56.17</v>
      </c>
      <c r="D34" s="4">
        <v>1.4205399999999999</v>
      </c>
      <c r="E34" s="4"/>
      <c r="F34" s="4"/>
      <c r="G34" s="96">
        <f>D34*'Comparisons 2012-2016'!C$18/100</f>
        <v>801.01409520000004</v>
      </c>
      <c r="H34" s="4"/>
      <c r="I34" s="4"/>
      <c r="J34" s="120">
        <f t="shared" si="2"/>
        <v>801.01409520000004</v>
      </c>
      <c r="K34" s="50">
        <f>D34*'Comparisons 2012-2016'!F$18/100</f>
        <v>817.63441319999993</v>
      </c>
      <c r="L34" s="51"/>
      <c r="M34" s="51"/>
      <c r="N34" s="55">
        <f t="shared" si="3"/>
        <v>817.63441319999993</v>
      </c>
      <c r="O34" s="4">
        <f>D34*'Comparisons 2012-2016'!G$18/100</f>
        <v>649.82602299999996</v>
      </c>
      <c r="P34" s="4"/>
      <c r="Q34" s="4"/>
      <c r="R34" s="6">
        <f t="shared" si="0"/>
        <v>649.82602299999996</v>
      </c>
      <c r="S34" s="56">
        <f>D34*'Comparisons 2012-2016'!H$18/100</f>
        <v>581.14291399999991</v>
      </c>
      <c r="T34" s="50"/>
      <c r="U34" s="50"/>
      <c r="V34" s="55">
        <f t="shared" si="4"/>
        <v>581.14291399999991</v>
      </c>
      <c r="W34" s="4"/>
      <c r="X34" s="4"/>
      <c r="Y34" s="4"/>
      <c r="Z34" s="8">
        <f>R34-V34</f>
        <v>68.683109000000059</v>
      </c>
      <c r="AA34" s="9">
        <f t="shared" si="7"/>
        <v>581.14291399999991</v>
      </c>
      <c r="AB34" s="4"/>
      <c r="AC34" s="7">
        <f t="shared" si="8"/>
        <v>0.1181862625274995</v>
      </c>
      <c r="AD34" s="1"/>
    </row>
    <row r="35" spans="1:30" x14ac:dyDescent="0.2">
      <c r="A35" s="4">
        <v>32</v>
      </c>
      <c r="B35" s="59">
        <f t="shared" si="1"/>
        <v>-2.0327322005629096E-2</v>
      </c>
      <c r="C35" s="4">
        <v>45.61</v>
      </c>
      <c r="D35" s="4">
        <v>1.1535</v>
      </c>
      <c r="E35" s="4"/>
      <c r="F35" s="4"/>
      <c r="G35" s="96">
        <f>D35*'Comparisons 2012-2016'!C$18/100</f>
        <v>650.43557999999996</v>
      </c>
      <c r="H35" s="4"/>
      <c r="I35" s="4"/>
      <c r="J35" s="120">
        <f t="shared" si="2"/>
        <v>650.43557999999996</v>
      </c>
      <c r="K35" s="50">
        <f>D35*'Comparisons 2012-2016'!F$18/100</f>
        <v>663.93152999999995</v>
      </c>
      <c r="L35" s="51"/>
      <c r="M35" s="51"/>
      <c r="N35" s="55">
        <f t="shared" si="3"/>
        <v>663.93152999999995</v>
      </c>
      <c r="O35" s="4">
        <f>D35*'Comparisons 2012-2016'!G$18/100</f>
        <v>527.66857500000003</v>
      </c>
      <c r="P35" s="4"/>
      <c r="Q35" s="4"/>
      <c r="R35" s="6">
        <f t="shared" si="0"/>
        <v>527.66857500000003</v>
      </c>
      <c r="S35" s="56">
        <f>D35*'Comparisons 2012-2016'!H$18/100</f>
        <v>471.89684999999997</v>
      </c>
      <c r="T35" s="50"/>
      <c r="U35" s="50"/>
      <c r="V35" s="55">
        <f t="shared" si="4"/>
        <v>471.89684999999997</v>
      </c>
      <c r="W35" s="4"/>
      <c r="X35" s="4"/>
      <c r="Y35" s="4"/>
      <c r="Z35" s="8">
        <f t="shared" ref="Z35:Z53" si="9">R35-V35</f>
        <v>55.77172500000006</v>
      </c>
      <c r="AA35" s="9">
        <f t="shared" si="7"/>
        <v>471.89684999999997</v>
      </c>
      <c r="AB35" s="4"/>
      <c r="AC35" s="7">
        <f t="shared" si="8"/>
        <v>0.11818626252749953</v>
      </c>
    </row>
    <row r="36" spans="1:30" x14ac:dyDescent="0.2">
      <c r="A36" s="4">
        <v>33</v>
      </c>
      <c r="B36" s="59">
        <f t="shared" si="1"/>
        <v>-2.032732200562901E-2</v>
      </c>
      <c r="C36" s="4">
        <v>48.81</v>
      </c>
      <c r="D36" s="4">
        <v>1.2343999999999999</v>
      </c>
      <c r="E36" s="4"/>
      <c r="F36" s="4"/>
      <c r="G36" s="96">
        <f>D36*'Comparisons 2012-2016'!C$18/100</f>
        <v>696.05347200000006</v>
      </c>
      <c r="H36" s="4"/>
      <c r="I36" s="4"/>
      <c r="J36" s="120">
        <f t="shared" si="2"/>
        <v>696.05347200000006</v>
      </c>
      <c r="K36" s="50">
        <f>D36*'Comparisons 2012-2016'!F$18/100</f>
        <v>710.49595199999999</v>
      </c>
      <c r="L36" s="51"/>
      <c r="M36" s="51"/>
      <c r="N36" s="55">
        <f t="shared" si="3"/>
        <v>710.49595199999999</v>
      </c>
      <c r="O36" s="4">
        <f>D36*'Comparisons 2012-2016'!G$18/100</f>
        <v>564.67628000000002</v>
      </c>
      <c r="P36" s="4"/>
      <c r="Q36" s="4"/>
      <c r="R36" s="6">
        <f t="shared" si="0"/>
        <v>564.67628000000002</v>
      </c>
      <c r="S36" s="56">
        <f>D36*'Comparisons 2012-2016'!H$18/100</f>
        <v>504.99303999999995</v>
      </c>
      <c r="T36" s="50"/>
      <c r="U36" s="50"/>
      <c r="V36" s="55">
        <f t="shared" si="4"/>
        <v>504.99303999999995</v>
      </c>
      <c r="W36" s="4"/>
      <c r="X36" s="4"/>
      <c r="Y36" s="4"/>
      <c r="Z36" s="8">
        <f t="shared" si="9"/>
        <v>59.683240000000069</v>
      </c>
      <c r="AA36" s="9">
        <f t="shared" si="7"/>
        <v>504.99303999999995</v>
      </c>
      <c r="AB36" s="4"/>
      <c r="AC36" s="7">
        <f t="shared" si="8"/>
        <v>0.11818626252749953</v>
      </c>
    </row>
    <row r="37" spans="1:30" x14ac:dyDescent="0.2">
      <c r="A37" s="4">
        <v>34</v>
      </c>
      <c r="B37" s="59">
        <f t="shared" si="1"/>
        <v>-2.0327322005629121E-2</v>
      </c>
      <c r="C37" s="4">
        <v>51.83</v>
      </c>
      <c r="D37" s="4">
        <v>1.3108</v>
      </c>
      <c r="E37" s="4"/>
      <c r="F37" s="4"/>
      <c r="G37" s="96">
        <f>D37*'Comparisons 2012-2016'!C$18/100</f>
        <v>739.13390400000003</v>
      </c>
      <c r="H37" s="4"/>
      <c r="I37" s="4"/>
      <c r="J37" s="120">
        <f t="shared" si="2"/>
        <v>739.13390400000003</v>
      </c>
      <c r="K37" s="50">
        <f>D37*'Comparisons 2012-2016'!F$18/100</f>
        <v>754.47026400000004</v>
      </c>
      <c r="L37" s="51"/>
      <c r="M37" s="51"/>
      <c r="N37" s="55">
        <f t="shared" si="3"/>
        <v>754.47026400000004</v>
      </c>
      <c r="O37" s="4">
        <f>D37*'Comparisons 2012-2016'!G$18/100</f>
        <v>599.62545999999998</v>
      </c>
      <c r="P37" s="4"/>
      <c r="Q37" s="4"/>
      <c r="R37" s="6">
        <f t="shared" si="0"/>
        <v>599.62545999999998</v>
      </c>
      <c r="S37" s="56">
        <f>D37*'Comparisons 2012-2016'!H$18/100</f>
        <v>536.24828000000002</v>
      </c>
      <c r="T37" s="50"/>
      <c r="U37" s="50"/>
      <c r="V37" s="55">
        <f t="shared" si="4"/>
        <v>536.24828000000002</v>
      </c>
      <c r="W37" s="8"/>
      <c r="X37" s="4"/>
      <c r="Y37" s="4"/>
      <c r="Z37" s="8">
        <f t="shared" si="9"/>
        <v>63.377179999999953</v>
      </c>
      <c r="AA37" s="9">
        <f t="shared" si="7"/>
        <v>536.24828000000002</v>
      </c>
      <c r="AB37" s="4"/>
      <c r="AC37" s="7">
        <f t="shared" si="8"/>
        <v>0.11818626252749929</v>
      </c>
    </row>
    <row r="38" spans="1:30" x14ac:dyDescent="0.2">
      <c r="A38" s="4">
        <v>35</v>
      </c>
      <c r="B38" s="59">
        <f t="shared" si="1"/>
        <v>-2.0327322005629051E-2</v>
      </c>
      <c r="C38" s="4">
        <v>62.73</v>
      </c>
      <c r="D38" s="4">
        <v>1.5864400000000001</v>
      </c>
      <c r="E38" s="4"/>
      <c r="F38" s="4"/>
      <c r="G38" s="96">
        <f>D38*'Comparisons 2012-2016'!C$18/100</f>
        <v>894.56178720000014</v>
      </c>
      <c r="H38" s="4"/>
      <c r="I38" s="4"/>
      <c r="J38" s="120">
        <f t="shared" si="2"/>
        <v>894.56178720000014</v>
      </c>
      <c r="K38" s="50">
        <f>D38*'Comparisons 2012-2016'!F$18/100</f>
        <v>913.12313520000009</v>
      </c>
      <c r="L38" s="51"/>
      <c r="M38" s="51"/>
      <c r="N38" s="55">
        <f t="shared" si="3"/>
        <v>913.12313520000009</v>
      </c>
      <c r="O38" s="4">
        <f>D38*'Comparisons 2012-2016'!G$18/100</f>
        <v>725.71697800000004</v>
      </c>
      <c r="P38" s="4"/>
      <c r="Q38" s="4"/>
      <c r="R38" s="6">
        <f t="shared" si="0"/>
        <v>725.71697800000004</v>
      </c>
      <c r="S38" s="56">
        <f>D38*'Comparisons 2012-2016'!H$18/100</f>
        <v>649.01260400000001</v>
      </c>
      <c r="T38" s="50"/>
      <c r="U38" s="50"/>
      <c r="V38" s="55">
        <f t="shared" si="4"/>
        <v>649.01260400000001</v>
      </c>
      <c r="W38" s="8"/>
      <c r="X38" s="4"/>
      <c r="Y38" s="4"/>
      <c r="Z38" s="8">
        <f t="shared" si="9"/>
        <v>76.70437400000003</v>
      </c>
      <c r="AA38" s="9">
        <f t="shared" si="7"/>
        <v>649.01260400000001</v>
      </c>
      <c r="AB38" s="4"/>
      <c r="AC38" s="7">
        <f t="shared" si="8"/>
        <v>0.11818626252749943</v>
      </c>
    </row>
    <row r="39" spans="1:30" x14ac:dyDescent="0.2">
      <c r="A39" s="4">
        <v>36</v>
      </c>
      <c r="B39" s="59">
        <f t="shared" si="1"/>
        <v>-2.0327322005628964E-2</v>
      </c>
      <c r="C39" s="4">
        <v>56.17</v>
      </c>
      <c r="D39" s="4">
        <v>1.4205399999999999</v>
      </c>
      <c r="E39" s="4"/>
      <c r="F39" s="4"/>
      <c r="G39" s="96">
        <f>D39*'Comparisons 2012-2016'!C$18/100</f>
        <v>801.01409520000004</v>
      </c>
      <c r="H39" s="4"/>
      <c r="I39" s="4"/>
      <c r="J39" s="120">
        <f t="shared" si="2"/>
        <v>801.01409520000004</v>
      </c>
      <c r="K39" s="50">
        <f>D39*'Comparisons 2012-2016'!F$18/100</f>
        <v>817.63441319999993</v>
      </c>
      <c r="L39" s="51"/>
      <c r="M39" s="51"/>
      <c r="N39" s="55">
        <f t="shared" si="3"/>
        <v>817.63441319999993</v>
      </c>
      <c r="O39" s="4">
        <f>D39*'Comparisons 2012-2016'!G$18/100</f>
        <v>649.82602299999996</v>
      </c>
      <c r="P39" s="4"/>
      <c r="Q39" s="4"/>
      <c r="R39" s="6">
        <f t="shared" si="0"/>
        <v>649.82602299999996</v>
      </c>
      <c r="S39" s="56">
        <f>D39*'Comparisons 2012-2016'!H$18/100</f>
        <v>581.14291399999991</v>
      </c>
      <c r="T39" s="50"/>
      <c r="U39" s="50"/>
      <c r="V39" s="55">
        <f t="shared" si="4"/>
        <v>581.14291399999991</v>
      </c>
      <c r="W39" s="4"/>
      <c r="X39" s="4"/>
      <c r="Y39" s="4"/>
      <c r="Z39" s="8">
        <f t="shared" si="9"/>
        <v>68.683109000000059</v>
      </c>
      <c r="AA39" s="9">
        <f t="shared" si="7"/>
        <v>581.14291399999991</v>
      </c>
      <c r="AB39" s="4"/>
      <c r="AC39" s="7">
        <f t="shared" si="8"/>
        <v>0.1181862625274995</v>
      </c>
    </row>
    <row r="40" spans="1:30" x14ac:dyDescent="0.2">
      <c r="A40" s="4">
        <v>37</v>
      </c>
      <c r="B40" s="59">
        <f t="shared" si="1"/>
        <v>-2.0327322005629096E-2</v>
      </c>
      <c r="C40" s="4">
        <v>45.61</v>
      </c>
      <c r="D40" s="4">
        <v>1.1535</v>
      </c>
      <c r="E40" s="4"/>
      <c r="F40" s="4"/>
      <c r="G40" s="96">
        <f>D40*'Comparisons 2012-2016'!C$18/100</f>
        <v>650.43557999999996</v>
      </c>
      <c r="H40" s="4"/>
      <c r="I40" s="4"/>
      <c r="J40" s="120">
        <f t="shared" si="2"/>
        <v>650.43557999999996</v>
      </c>
      <c r="K40" s="50">
        <f>D40*'Comparisons 2012-2016'!F$18/100</f>
        <v>663.93152999999995</v>
      </c>
      <c r="L40" s="51"/>
      <c r="M40" s="51"/>
      <c r="N40" s="55">
        <f t="shared" si="3"/>
        <v>663.93152999999995</v>
      </c>
      <c r="O40" s="4">
        <f>D40*'Comparisons 2012-2016'!G$18/100</f>
        <v>527.66857500000003</v>
      </c>
      <c r="P40" s="4"/>
      <c r="Q40" s="4"/>
      <c r="R40" s="6">
        <f t="shared" si="0"/>
        <v>527.66857500000003</v>
      </c>
      <c r="S40" s="56">
        <f>D40*'Comparisons 2012-2016'!H$18/100</f>
        <v>471.89684999999997</v>
      </c>
      <c r="T40" s="50"/>
      <c r="U40" s="50"/>
      <c r="V40" s="55">
        <f t="shared" si="4"/>
        <v>471.89684999999997</v>
      </c>
      <c r="W40" s="4"/>
      <c r="X40" s="4"/>
      <c r="Y40" s="4"/>
      <c r="Z40" s="8">
        <f t="shared" si="9"/>
        <v>55.77172500000006</v>
      </c>
      <c r="AA40" s="9">
        <f t="shared" si="7"/>
        <v>471.89684999999997</v>
      </c>
      <c r="AB40" s="4"/>
      <c r="AC40" s="7">
        <f t="shared" si="8"/>
        <v>0.11818626252749953</v>
      </c>
    </row>
    <row r="41" spans="1:30" x14ac:dyDescent="0.2">
      <c r="A41" s="4">
        <v>38</v>
      </c>
      <c r="B41" s="59">
        <f t="shared" si="1"/>
        <v>-2.0327322005628819E-2</v>
      </c>
      <c r="C41" s="4">
        <v>48.29</v>
      </c>
      <c r="D41" s="4">
        <v>1.2213000000000001</v>
      </c>
      <c r="E41" s="4"/>
      <c r="F41" s="4"/>
      <c r="G41" s="96">
        <f>D41*'Comparisons 2012-2016'!C$18/100</f>
        <v>688.66664400000013</v>
      </c>
      <c r="H41" s="4"/>
      <c r="I41" s="4"/>
      <c r="J41" s="120">
        <f t="shared" si="2"/>
        <v>688.66664400000013</v>
      </c>
      <c r="K41" s="50">
        <f>D41*'Comparisons 2012-2016'!F$18/100</f>
        <v>702.95585399999993</v>
      </c>
      <c r="L41" s="51"/>
      <c r="M41" s="51"/>
      <c r="N41" s="55">
        <f t="shared" si="3"/>
        <v>702.95585399999993</v>
      </c>
      <c r="O41" s="4">
        <f>D41*'Comparisons 2012-2016'!G$18/100</f>
        <v>558.68368500000008</v>
      </c>
      <c r="P41" s="4"/>
      <c r="Q41" s="4"/>
      <c r="R41" s="6">
        <f t="shared" si="0"/>
        <v>558.68368500000008</v>
      </c>
      <c r="S41" s="56">
        <f>D41*'Comparisons 2012-2016'!H$18/100</f>
        <v>499.63382999999999</v>
      </c>
      <c r="T41" s="50"/>
      <c r="U41" s="50"/>
      <c r="V41" s="55">
        <f t="shared" si="4"/>
        <v>499.63382999999999</v>
      </c>
      <c r="W41" s="4"/>
      <c r="X41" s="4"/>
      <c r="Y41" s="4"/>
      <c r="Z41" s="8">
        <f t="shared" si="9"/>
        <v>59.049855000000093</v>
      </c>
      <c r="AA41" s="9">
        <f t="shared" si="7"/>
        <v>499.63382999999999</v>
      </c>
      <c r="AB41" s="4"/>
      <c r="AC41" s="7">
        <f t="shared" si="8"/>
        <v>0.11818626252749957</v>
      </c>
    </row>
    <row r="42" spans="1:30" x14ac:dyDescent="0.2">
      <c r="A42" s="4">
        <v>39</v>
      </c>
      <c r="B42" s="59">
        <f t="shared" si="1"/>
        <v>-2.0327322005629242E-2</v>
      </c>
      <c r="C42" s="4">
        <v>65.86</v>
      </c>
      <c r="D42" s="4">
        <v>1.6656</v>
      </c>
      <c r="E42" s="4"/>
      <c r="F42" s="4"/>
      <c r="G42" s="96">
        <f>D42*'Comparisons 2012-2016'!C$18/100</f>
        <v>939.1985279999999</v>
      </c>
      <c r="H42" s="4"/>
      <c r="I42" s="4"/>
      <c r="J42" s="120">
        <f t="shared" si="2"/>
        <v>939.1985279999999</v>
      </c>
      <c r="K42" s="50">
        <f>D42*'Comparisons 2012-2016'!F$18/100</f>
        <v>958.68604800000003</v>
      </c>
      <c r="L42" s="51"/>
      <c r="M42" s="51"/>
      <c r="N42" s="55">
        <f t="shared" si="3"/>
        <v>958.68604800000003</v>
      </c>
      <c r="O42" s="4">
        <f>D42*'Comparisons 2012-2016'!G$18/100</f>
        <v>761.92872</v>
      </c>
      <c r="P42" s="4"/>
      <c r="Q42" s="4"/>
      <c r="R42" s="6">
        <f t="shared" si="0"/>
        <v>761.92872</v>
      </c>
      <c r="S42" s="56">
        <f>D42*'Comparisons 2012-2016'!H$18/100</f>
        <v>681.39695999999992</v>
      </c>
      <c r="T42" s="50"/>
      <c r="U42" s="50"/>
      <c r="V42" s="55">
        <f t="shared" si="4"/>
        <v>681.39695999999992</v>
      </c>
      <c r="W42" s="4"/>
      <c r="X42" s="4"/>
      <c r="Y42" s="4"/>
      <c r="Z42" s="8">
        <f t="shared" si="9"/>
        <v>80.531760000000077</v>
      </c>
      <c r="AA42" s="9">
        <f t="shared" si="7"/>
        <v>681.39695999999992</v>
      </c>
      <c r="AB42" s="4"/>
      <c r="AC42" s="7">
        <f t="shared" si="8"/>
        <v>0.11818626252749952</v>
      </c>
    </row>
    <row r="43" spans="1:30" x14ac:dyDescent="0.2">
      <c r="A43" s="4">
        <v>40</v>
      </c>
      <c r="B43" s="59">
        <f t="shared" si="1"/>
        <v>-2.0327322005629051E-2</v>
      </c>
      <c r="C43" s="4">
        <v>62.73</v>
      </c>
      <c r="D43" s="4">
        <v>1.5864400000000001</v>
      </c>
      <c r="E43" s="4"/>
      <c r="F43" s="4"/>
      <c r="G43" s="96">
        <f>D43*'Comparisons 2012-2016'!C$18/100</f>
        <v>894.56178720000014</v>
      </c>
      <c r="H43" s="4"/>
      <c r="I43" s="4"/>
      <c r="J43" s="120">
        <f t="shared" si="2"/>
        <v>894.56178720000014</v>
      </c>
      <c r="K43" s="50">
        <f>D43*'Comparisons 2012-2016'!F$18/100</f>
        <v>913.12313520000009</v>
      </c>
      <c r="L43" s="51"/>
      <c r="M43" s="51"/>
      <c r="N43" s="55">
        <f t="shared" si="3"/>
        <v>913.12313520000009</v>
      </c>
      <c r="O43" s="4">
        <f>D43*'Comparisons 2012-2016'!G$18/100</f>
        <v>725.71697800000004</v>
      </c>
      <c r="P43" s="4"/>
      <c r="Q43" s="4"/>
      <c r="R43" s="6">
        <f t="shared" si="0"/>
        <v>725.71697800000004</v>
      </c>
      <c r="S43" s="56">
        <f>D43*'Comparisons 2012-2016'!H$18/100</f>
        <v>649.01260400000001</v>
      </c>
      <c r="T43" s="50"/>
      <c r="U43" s="50"/>
      <c r="V43" s="55">
        <f t="shared" si="4"/>
        <v>649.01260400000001</v>
      </c>
      <c r="W43" s="4"/>
      <c r="X43" s="4"/>
      <c r="Y43" s="4"/>
      <c r="Z43" s="8">
        <f t="shared" si="9"/>
        <v>76.70437400000003</v>
      </c>
      <c r="AA43" s="9">
        <f t="shared" si="7"/>
        <v>649.01260400000001</v>
      </c>
      <c r="AB43" s="4"/>
      <c r="AC43" s="7">
        <f t="shared" si="8"/>
        <v>0.11818626252749943</v>
      </c>
    </row>
    <row r="44" spans="1:30" x14ac:dyDescent="0.2">
      <c r="A44" s="4">
        <v>41</v>
      </c>
      <c r="B44" s="59">
        <f t="shared" si="1"/>
        <v>-2.0327322005628964E-2</v>
      </c>
      <c r="C44" s="4">
        <v>56.17</v>
      </c>
      <c r="D44" s="4">
        <v>1.4205399999999999</v>
      </c>
      <c r="E44" s="4"/>
      <c r="F44" s="4"/>
      <c r="G44" s="96">
        <f>D44*'Comparisons 2012-2016'!C$18/100</f>
        <v>801.01409520000004</v>
      </c>
      <c r="H44" s="4"/>
      <c r="I44" s="4"/>
      <c r="J44" s="120">
        <f t="shared" si="2"/>
        <v>801.01409520000004</v>
      </c>
      <c r="K44" s="50">
        <f>D44*'Comparisons 2012-2016'!F$18/100</f>
        <v>817.63441319999993</v>
      </c>
      <c r="L44" s="51"/>
      <c r="M44" s="51"/>
      <c r="N44" s="55">
        <f t="shared" si="3"/>
        <v>817.63441319999993</v>
      </c>
      <c r="O44" s="4">
        <f>D44*'Comparisons 2012-2016'!G$18/100</f>
        <v>649.82602299999996</v>
      </c>
      <c r="P44" s="4"/>
      <c r="Q44" s="4"/>
      <c r="R44" s="6">
        <f t="shared" si="0"/>
        <v>649.82602299999996</v>
      </c>
      <c r="S44" s="56">
        <f>D44*'Comparisons 2012-2016'!H$18/100</f>
        <v>581.14291399999991</v>
      </c>
      <c r="T44" s="50"/>
      <c r="U44" s="50"/>
      <c r="V44" s="55">
        <f t="shared" si="4"/>
        <v>581.14291399999991</v>
      </c>
      <c r="W44" s="4"/>
      <c r="X44" s="4"/>
      <c r="Y44" s="4"/>
      <c r="Z44" s="8">
        <f t="shared" si="9"/>
        <v>68.683109000000059</v>
      </c>
      <c r="AA44" s="9">
        <f t="shared" si="7"/>
        <v>581.14291399999991</v>
      </c>
      <c r="AB44" s="4"/>
      <c r="AC44" s="7">
        <f t="shared" si="8"/>
        <v>0.1181862625274995</v>
      </c>
    </row>
    <row r="45" spans="1:30" x14ac:dyDescent="0.2">
      <c r="A45" s="4">
        <v>42</v>
      </c>
      <c r="B45" s="59">
        <f t="shared" si="1"/>
        <v>-2.0327322005629096E-2</v>
      </c>
      <c r="C45" s="4">
        <v>45.61</v>
      </c>
      <c r="D45" s="4">
        <v>1.1535</v>
      </c>
      <c r="E45" s="4"/>
      <c r="F45" s="4"/>
      <c r="G45" s="96">
        <f>D45*'Comparisons 2012-2016'!C$18/100</f>
        <v>650.43557999999996</v>
      </c>
      <c r="H45" s="4"/>
      <c r="I45" s="4"/>
      <c r="J45" s="120">
        <f t="shared" si="2"/>
        <v>650.43557999999996</v>
      </c>
      <c r="K45" s="50">
        <f>D45*'Comparisons 2012-2016'!F$18/100</f>
        <v>663.93152999999995</v>
      </c>
      <c r="L45" s="51"/>
      <c r="M45" s="51"/>
      <c r="N45" s="55">
        <f t="shared" si="3"/>
        <v>663.93152999999995</v>
      </c>
      <c r="O45" s="4">
        <f>D45*'Comparisons 2012-2016'!G$18/100</f>
        <v>527.66857500000003</v>
      </c>
      <c r="P45" s="4"/>
      <c r="Q45" s="4"/>
      <c r="R45" s="6">
        <f t="shared" si="0"/>
        <v>527.66857500000003</v>
      </c>
      <c r="S45" s="56">
        <f>D45*'Comparisons 2012-2016'!H$18/100</f>
        <v>471.89684999999997</v>
      </c>
      <c r="T45" s="50"/>
      <c r="U45" s="50"/>
      <c r="V45" s="55">
        <f t="shared" si="4"/>
        <v>471.89684999999997</v>
      </c>
      <c r="W45" s="4"/>
      <c r="X45" s="4"/>
      <c r="Y45" s="4"/>
      <c r="Z45" s="8">
        <f t="shared" si="9"/>
        <v>55.77172500000006</v>
      </c>
      <c r="AA45" s="9">
        <f t="shared" si="7"/>
        <v>471.89684999999997</v>
      </c>
      <c r="AB45" s="4"/>
      <c r="AC45" s="7">
        <f t="shared" si="8"/>
        <v>0.11818626252749953</v>
      </c>
    </row>
    <row r="46" spans="1:30" x14ac:dyDescent="0.2">
      <c r="A46" s="4">
        <v>43</v>
      </c>
      <c r="B46" s="59">
        <f t="shared" si="1"/>
        <v>-2.0327322005628819E-2</v>
      </c>
      <c r="C46" s="4">
        <v>48.29</v>
      </c>
      <c r="D46" s="4">
        <v>1.2213000000000001</v>
      </c>
      <c r="E46" s="4"/>
      <c r="F46" s="4"/>
      <c r="G46" s="96">
        <f>D46*'Comparisons 2012-2016'!C$18/100</f>
        <v>688.66664400000013</v>
      </c>
      <c r="H46" s="4"/>
      <c r="I46" s="4"/>
      <c r="J46" s="120">
        <f t="shared" si="2"/>
        <v>688.66664400000013</v>
      </c>
      <c r="K46" s="50">
        <f>D46*'Comparisons 2012-2016'!F$18/100</f>
        <v>702.95585399999993</v>
      </c>
      <c r="L46" s="51"/>
      <c r="M46" s="51"/>
      <c r="N46" s="55">
        <f t="shared" si="3"/>
        <v>702.95585399999993</v>
      </c>
      <c r="O46" s="4">
        <f>D46*'Comparisons 2012-2016'!G$18/100</f>
        <v>558.68368500000008</v>
      </c>
      <c r="P46" s="4"/>
      <c r="Q46" s="4"/>
      <c r="R46" s="6">
        <f t="shared" si="0"/>
        <v>558.68368500000008</v>
      </c>
      <c r="S46" s="56">
        <f>D46*'Comparisons 2012-2016'!H$18/100</f>
        <v>499.63382999999999</v>
      </c>
      <c r="T46" s="50"/>
      <c r="U46" s="50"/>
      <c r="V46" s="55">
        <f t="shared" si="4"/>
        <v>499.63382999999999</v>
      </c>
      <c r="W46" s="4"/>
      <c r="X46" s="4"/>
      <c r="Y46" s="4"/>
      <c r="Z46" s="8">
        <f t="shared" si="9"/>
        <v>59.049855000000093</v>
      </c>
      <c r="AA46" s="9">
        <f t="shared" si="7"/>
        <v>499.63382999999999</v>
      </c>
      <c r="AB46" s="4"/>
      <c r="AC46" s="7">
        <f t="shared" si="8"/>
        <v>0.11818626252749957</v>
      </c>
    </row>
    <row r="47" spans="1:30" x14ac:dyDescent="0.2">
      <c r="A47" s="4">
        <v>44</v>
      </c>
      <c r="B47" s="59">
        <f t="shared" si="1"/>
        <v>-2.0327322005629242E-2</v>
      </c>
      <c r="C47" s="4">
        <v>65.86</v>
      </c>
      <c r="D47" s="4">
        <v>1.6656</v>
      </c>
      <c r="E47" s="4"/>
      <c r="F47" s="4"/>
      <c r="G47" s="96">
        <f>D47*'Comparisons 2012-2016'!C$18/100</f>
        <v>939.1985279999999</v>
      </c>
      <c r="H47" s="4"/>
      <c r="I47" s="4"/>
      <c r="J47" s="120">
        <f t="shared" si="2"/>
        <v>939.1985279999999</v>
      </c>
      <c r="K47" s="50">
        <f>D47*'Comparisons 2012-2016'!F$18/100</f>
        <v>958.68604800000003</v>
      </c>
      <c r="L47" s="51"/>
      <c r="M47" s="51"/>
      <c r="N47" s="55">
        <f t="shared" si="3"/>
        <v>958.68604800000003</v>
      </c>
      <c r="O47" s="4">
        <f>D47*'Comparisons 2012-2016'!G$18/100</f>
        <v>761.92872</v>
      </c>
      <c r="P47" s="4"/>
      <c r="Q47" s="4"/>
      <c r="R47" s="6">
        <f t="shared" si="0"/>
        <v>761.92872</v>
      </c>
      <c r="S47" s="56">
        <f>D47*'Comparisons 2012-2016'!H$18/100</f>
        <v>681.39695999999992</v>
      </c>
      <c r="T47" s="50"/>
      <c r="U47" s="50"/>
      <c r="V47" s="55">
        <f t="shared" si="4"/>
        <v>681.39695999999992</v>
      </c>
      <c r="W47" s="4"/>
      <c r="X47" s="4"/>
      <c r="Y47" s="4"/>
      <c r="Z47" s="8">
        <f t="shared" si="9"/>
        <v>80.531760000000077</v>
      </c>
      <c r="AA47" s="9">
        <f t="shared" si="7"/>
        <v>681.39695999999992</v>
      </c>
      <c r="AB47" s="4"/>
      <c r="AC47" s="7">
        <f t="shared" si="8"/>
        <v>0.11818626252749952</v>
      </c>
    </row>
    <row r="48" spans="1:30" x14ac:dyDescent="0.2">
      <c r="A48" s="4">
        <v>45</v>
      </c>
      <c r="B48" s="59">
        <f t="shared" si="1"/>
        <v>-2.0327322005629051E-2</v>
      </c>
      <c r="C48" s="4">
        <v>62.73</v>
      </c>
      <c r="D48" s="4">
        <v>1.5864400000000001</v>
      </c>
      <c r="E48" s="4"/>
      <c r="F48" s="4"/>
      <c r="G48" s="96">
        <f>D48*'Comparisons 2012-2016'!C$18/100</f>
        <v>894.56178720000014</v>
      </c>
      <c r="H48" s="4"/>
      <c r="I48" s="4"/>
      <c r="J48" s="120">
        <f t="shared" si="2"/>
        <v>894.56178720000014</v>
      </c>
      <c r="K48" s="50">
        <f>D48*'Comparisons 2012-2016'!F$18/100</f>
        <v>913.12313520000009</v>
      </c>
      <c r="L48" s="51"/>
      <c r="M48" s="51"/>
      <c r="N48" s="55">
        <f t="shared" si="3"/>
        <v>913.12313520000009</v>
      </c>
      <c r="O48" s="4">
        <f>D48*'Comparisons 2012-2016'!G$18/100</f>
        <v>725.71697800000004</v>
      </c>
      <c r="P48" s="4"/>
      <c r="Q48" s="4"/>
      <c r="R48" s="6">
        <f t="shared" si="0"/>
        <v>725.71697800000004</v>
      </c>
      <c r="S48" s="56">
        <f>D48*'Comparisons 2012-2016'!H$18/100</f>
        <v>649.01260400000001</v>
      </c>
      <c r="T48" s="50"/>
      <c r="U48" s="50"/>
      <c r="V48" s="55">
        <f t="shared" si="4"/>
        <v>649.01260400000001</v>
      </c>
      <c r="W48" s="4"/>
      <c r="X48" s="4"/>
      <c r="Y48" s="4"/>
      <c r="Z48" s="8">
        <f t="shared" si="9"/>
        <v>76.70437400000003</v>
      </c>
      <c r="AA48" s="9">
        <f t="shared" si="7"/>
        <v>649.01260400000001</v>
      </c>
      <c r="AB48" s="4"/>
      <c r="AC48" s="7">
        <f t="shared" si="8"/>
        <v>0.11818626252749943</v>
      </c>
    </row>
    <row r="49" spans="1:29" x14ac:dyDescent="0.2">
      <c r="A49" s="4">
        <v>46</v>
      </c>
      <c r="B49" s="59">
        <f t="shared" si="1"/>
        <v>-2.0327322005628964E-2</v>
      </c>
      <c r="C49" s="4">
        <v>56.17</v>
      </c>
      <c r="D49" s="4">
        <v>1.4205399999999999</v>
      </c>
      <c r="E49" s="4"/>
      <c r="F49" s="4"/>
      <c r="G49" s="96">
        <f>D49*'Comparisons 2012-2016'!C$18/100</f>
        <v>801.01409520000004</v>
      </c>
      <c r="H49" s="4"/>
      <c r="I49" s="4"/>
      <c r="J49" s="120">
        <f t="shared" si="2"/>
        <v>801.01409520000004</v>
      </c>
      <c r="K49" s="50">
        <f>D49*'Comparisons 2012-2016'!F$18/100</f>
        <v>817.63441319999993</v>
      </c>
      <c r="L49" s="51"/>
      <c r="M49" s="51"/>
      <c r="N49" s="55">
        <f t="shared" si="3"/>
        <v>817.63441319999993</v>
      </c>
      <c r="O49" s="4">
        <f>D49*'Comparisons 2012-2016'!G$18/100</f>
        <v>649.82602299999996</v>
      </c>
      <c r="P49" s="4"/>
      <c r="Q49" s="4"/>
      <c r="R49" s="6">
        <f t="shared" si="0"/>
        <v>649.82602299999996</v>
      </c>
      <c r="S49" s="56">
        <f>D49*'Comparisons 2012-2016'!H$18/100</f>
        <v>581.14291399999991</v>
      </c>
      <c r="T49" s="50"/>
      <c r="U49" s="50"/>
      <c r="V49" s="55">
        <f t="shared" si="4"/>
        <v>581.14291399999991</v>
      </c>
      <c r="W49" s="4"/>
      <c r="X49" s="4"/>
      <c r="Y49" s="4"/>
      <c r="Z49" s="8">
        <f t="shared" si="9"/>
        <v>68.683109000000059</v>
      </c>
      <c r="AA49" s="9">
        <f t="shared" si="7"/>
        <v>581.14291399999991</v>
      </c>
      <c r="AB49" s="4"/>
      <c r="AC49" s="7">
        <f t="shared" si="8"/>
        <v>0.1181862625274995</v>
      </c>
    </row>
    <row r="50" spans="1:29" x14ac:dyDescent="0.2">
      <c r="A50" s="4">
        <v>47</v>
      </c>
      <c r="B50" s="59">
        <f t="shared" si="1"/>
        <v>-2.0327322005629096E-2</v>
      </c>
      <c r="C50" s="4">
        <v>45.61</v>
      </c>
      <c r="D50" s="4">
        <v>1.1535</v>
      </c>
      <c r="E50" s="4"/>
      <c r="F50" s="4"/>
      <c r="G50" s="96">
        <f>D50*'Comparisons 2012-2016'!C$18/100</f>
        <v>650.43557999999996</v>
      </c>
      <c r="H50" s="4"/>
      <c r="I50" s="4"/>
      <c r="J50" s="120">
        <f t="shared" si="2"/>
        <v>650.43557999999996</v>
      </c>
      <c r="K50" s="50">
        <f>D50*'Comparisons 2012-2016'!F$18/100</f>
        <v>663.93152999999995</v>
      </c>
      <c r="L50" s="51"/>
      <c r="M50" s="51"/>
      <c r="N50" s="55">
        <f t="shared" si="3"/>
        <v>663.93152999999995</v>
      </c>
      <c r="O50" s="4">
        <f>D50*'Comparisons 2012-2016'!G$18/100</f>
        <v>527.66857500000003</v>
      </c>
      <c r="P50" s="4"/>
      <c r="Q50" s="4"/>
      <c r="R50" s="6">
        <f t="shared" si="0"/>
        <v>527.66857500000003</v>
      </c>
      <c r="S50" s="56">
        <f>D50*'Comparisons 2012-2016'!H$18/100</f>
        <v>471.89684999999997</v>
      </c>
      <c r="T50" s="50"/>
      <c r="U50" s="50"/>
      <c r="V50" s="55">
        <f t="shared" si="4"/>
        <v>471.89684999999997</v>
      </c>
      <c r="W50" s="4"/>
      <c r="X50" s="4"/>
      <c r="Y50" s="4"/>
      <c r="Z50" s="8">
        <f t="shared" si="9"/>
        <v>55.77172500000006</v>
      </c>
      <c r="AA50" s="9">
        <f t="shared" si="7"/>
        <v>471.89684999999997</v>
      </c>
      <c r="AB50" s="4"/>
      <c r="AC50" s="7">
        <f t="shared" si="8"/>
        <v>0.11818626252749953</v>
      </c>
    </row>
    <row r="51" spans="1:29" x14ac:dyDescent="0.2">
      <c r="A51" s="4">
        <v>48</v>
      </c>
      <c r="B51" s="59">
        <f t="shared" si="1"/>
        <v>-2.0327322005628819E-2</v>
      </c>
      <c r="C51" s="4">
        <v>48.29</v>
      </c>
      <c r="D51" s="4">
        <v>1.2213000000000001</v>
      </c>
      <c r="E51" s="4"/>
      <c r="F51" s="4"/>
      <c r="G51" s="96">
        <f>D51*'Comparisons 2012-2016'!C$18/100</f>
        <v>688.66664400000013</v>
      </c>
      <c r="H51" s="4"/>
      <c r="I51" s="4"/>
      <c r="J51" s="120">
        <f t="shared" si="2"/>
        <v>688.66664400000013</v>
      </c>
      <c r="K51" s="50">
        <f>D51*'Comparisons 2012-2016'!F$18/100</f>
        <v>702.95585399999993</v>
      </c>
      <c r="L51" s="51"/>
      <c r="M51" s="51"/>
      <c r="N51" s="55">
        <f t="shared" si="3"/>
        <v>702.95585399999993</v>
      </c>
      <c r="O51" s="4">
        <f>D51*'Comparisons 2012-2016'!G$18/100</f>
        <v>558.68368500000008</v>
      </c>
      <c r="P51" s="4"/>
      <c r="Q51" s="4"/>
      <c r="R51" s="6">
        <f t="shared" si="0"/>
        <v>558.68368500000008</v>
      </c>
      <c r="S51" s="56">
        <f>D51*'Comparisons 2012-2016'!H$18/100</f>
        <v>499.63382999999999</v>
      </c>
      <c r="T51" s="50"/>
      <c r="U51" s="50"/>
      <c r="V51" s="55">
        <f t="shared" si="4"/>
        <v>499.63382999999999</v>
      </c>
      <c r="W51" s="4"/>
      <c r="X51" s="4"/>
      <c r="Y51" s="4"/>
      <c r="Z51" s="8">
        <f t="shared" si="9"/>
        <v>59.049855000000093</v>
      </c>
      <c r="AA51" s="9">
        <f t="shared" si="7"/>
        <v>499.63382999999999</v>
      </c>
      <c r="AB51" s="4"/>
      <c r="AC51" s="7">
        <f t="shared" si="8"/>
        <v>0.11818626252749957</v>
      </c>
    </row>
    <row r="52" spans="1:29" x14ac:dyDescent="0.2">
      <c r="A52" s="4">
        <v>49</v>
      </c>
      <c r="B52" s="59">
        <f t="shared" si="1"/>
        <v>-2.0327322005629242E-2</v>
      </c>
      <c r="C52" s="4">
        <v>65.86</v>
      </c>
      <c r="D52" s="4">
        <v>1.6656</v>
      </c>
      <c r="E52" s="4"/>
      <c r="F52" s="4"/>
      <c r="G52" s="96">
        <f>D52*'Comparisons 2012-2016'!C$18/100</f>
        <v>939.1985279999999</v>
      </c>
      <c r="H52" s="4"/>
      <c r="I52" s="4"/>
      <c r="J52" s="120">
        <f t="shared" si="2"/>
        <v>939.1985279999999</v>
      </c>
      <c r="K52" s="50">
        <f>D52*'Comparisons 2012-2016'!F$18/100</f>
        <v>958.68604800000003</v>
      </c>
      <c r="L52" s="51"/>
      <c r="M52" s="51"/>
      <c r="N52" s="55">
        <f t="shared" si="3"/>
        <v>958.68604800000003</v>
      </c>
      <c r="O52" s="4">
        <f>D52*'Comparisons 2012-2016'!G$18/100</f>
        <v>761.92872</v>
      </c>
      <c r="P52" s="4"/>
      <c r="Q52" s="4"/>
      <c r="R52" s="6">
        <f t="shared" si="0"/>
        <v>761.92872</v>
      </c>
      <c r="S52" s="56">
        <f>D52*'Comparisons 2012-2016'!H$18/100</f>
        <v>681.39695999999992</v>
      </c>
      <c r="T52" s="50"/>
      <c r="U52" s="50"/>
      <c r="V52" s="55">
        <f t="shared" si="4"/>
        <v>681.39695999999992</v>
      </c>
      <c r="W52" s="4"/>
      <c r="X52" s="4"/>
      <c r="Y52" s="4"/>
      <c r="Z52" s="8">
        <f t="shared" si="9"/>
        <v>80.531760000000077</v>
      </c>
      <c r="AA52" s="9">
        <f t="shared" si="7"/>
        <v>681.39695999999992</v>
      </c>
      <c r="AB52" s="4"/>
      <c r="AC52" s="7">
        <f t="shared" si="8"/>
        <v>0.11818626252749952</v>
      </c>
    </row>
    <row r="53" spans="1:29" x14ac:dyDescent="0.2">
      <c r="A53" s="4">
        <v>50</v>
      </c>
      <c r="B53" s="59">
        <f t="shared" si="1"/>
        <v>-2.0327322005629051E-2</v>
      </c>
      <c r="C53" s="4">
        <v>62.73</v>
      </c>
      <c r="D53" s="4">
        <v>1.5864400000000001</v>
      </c>
      <c r="E53" s="4"/>
      <c r="F53" s="4"/>
      <c r="G53" s="96">
        <f>D53*'Comparisons 2012-2016'!C$18/100</f>
        <v>894.56178720000014</v>
      </c>
      <c r="H53" s="4"/>
      <c r="I53" s="4"/>
      <c r="J53" s="120">
        <f t="shared" si="2"/>
        <v>894.56178720000014</v>
      </c>
      <c r="K53" s="50">
        <f>D53*'Comparisons 2012-2016'!F$18/100</f>
        <v>913.12313520000009</v>
      </c>
      <c r="L53" s="51"/>
      <c r="M53" s="51"/>
      <c r="N53" s="55">
        <f t="shared" si="3"/>
        <v>913.12313520000009</v>
      </c>
      <c r="O53" s="4">
        <f>D53*'Comparisons 2012-2016'!G$18/100</f>
        <v>725.71697800000004</v>
      </c>
      <c r="P53" s="4"/>
      <c r="Q53" s="4"/>
      <c r="R53" s="6">
        <f t="shared" si="0"/>
        <v>725.71697800000004</v>
      </c>
      <c r="S53" s="56">
        <f>D53*'Comparisons 2012-2016'!H$18/100</f>
        <v>649.01260400000001</v>
      </c>
      <c r="T53" s="50"/>
      <c r="U53" s="50"/>
      <c r="V53" s="55">
        <f t="shared" si="4"/>
        <v>649.01260400000001</v>
      </c>
      <c r="W53" s="4"/>
      <c r="X53" s="4"/>
      <c r="Y53" s="4"/>
      <c r="Z53" s="8">
        <f t="shared" si="9"/>
        <v>76.70437400000003</v>
      </c>
      <c r="AA53" s="9">
        <f t="shared" si="7"/>
        <v>649.01260400000001</v>
      </c>
      <c r="AB53" s="4"/>
      <c r="AC53" s="7">
        <f t="shared" si="8"/>
        <v>0.11818626252749943</v>
      </c>
    </row>
    <row r="54" spans="1:29" x14ac:dyDescent="0.2">
      <c r="A54" s="4" t="s">
        <v>12</v>
      </c>
      <c r="B54" s="4"/>
      <c r="C54" s="4"/>
      <c r="D54" s="4"/>
      <c r="E54" s="4"/>
      <c r="F54" s="4">
        <v>14.286</v>
      </c>
      <c r="G54" s="4"/>
      <c r="H54" s="4"/>
      <c r="I54" s="96">
        <f>F54*'Comparisons 2012-2016'!C$37/100</f>
        <v>627.15539999999999</v>
      </c>
      <c r="J54" s="120">
        <f t="shared" si="2"/>
        <v>627.15539999999999</v>
      </c>
      <c r="K54" s="51"/>
      <c r="L54" s="51"/>
      <c r="M54" s="50">
        <f>F54*'Comparisons 2012-2016'!F$37/100</f>
        <v>637.86990000000003</v>
      </c>
      <c r="N54" s="55">
        <f>SUM(K54:M54)</f>
        <v>637.86990000000003</v>
      </c>
      <c r="O54" s="4"/>
      <c r="P54" s="4"/>
      <c r="Q54" s="4">
        <f>F54*'Comparisons 2012-2016'!G$37/100</f>
        <v>485.72399999999999</v>
      </c>
      <c r="R54" s="6">
        <f t="shared" si="0"/>
        <v>485.72399999999999</v>
      </c>
      <c r="S54" s="50"/>
      <c r="T54" s="50"/>
      <c r="U54" s="50">
        <f>F54*'Comparisons 2012-2016'!H37/100</f>
        <v>648.15581999999995</v>
      </c>
      <c r="V54" s="55">
        <f t="shared" si="4"/>
        <v>648.15581999999995</v>
      </c>
      <c r="W54" s="4"/>
      <c r="X54" s="4"/>
      <c r="Y54" s="4">
        <f>F54*'Comparisons 2012-2016'!H$36/100</f>
        <v>212.43281999999999</v>
      </c>
      <c r="Z54" s="4"/>
      <c r="AA54" s="9">
        <f t="shared" si="7"/>
        <v>435.72299999999996</v>
      </c>
      <c r="AB54" s="4"/>
      <c r="AC54" s="7">
        <f t="shared" ref="AC54:AC55" si="10">(R54-AA54)/AA54</f>
        <v>0.11475409836065582</v>
      </c>
    </row>
    <row r="55" spans="1:29" ht="15.95" thickBot="1" x14ac:dyDescent="0.25">
      <c r="A55" s="4"/>
      <c r="B55" s="59">
        <f t="shared" si="1"/>
        <v>1.5865664214738406E-2</v>
      </c>
      <c r="C55" s="4"/>
      <c r="D55" s="16">
        <f t="shared" ref="D55:U55" si="11">SUM(D4:D54)</f>
        <v>100.00059999999995</v>
      </c>
      <c r="E55" s="16">
        <f t="shared" si="11"/>
        <v>100.00000000000001</v>
      </c>
      <c r="F55" s="16">
        <f t="shared" si="11"/>
        <v>100.00200000000002</v>
      </c>
      <c r="G55" s="18">
        <f t="shared" si="11"/>
        <v>56388.338327999991</v>
      </c>
      <c r="H55" s="18">
        <f t="shared" si="11"/>
        <v>24700</v>
      </c>
      <c r="I55" s="18">
        <f t="shared" si="11"/>
        <v>4390.0877999999984</v>
      </c>
      <c r="J55" s="17">
        <f t="shared" si="11"/>
        <v>85478.426127999963</v>
      </c>
      <c r="K55" s="18">
        <f t="shared" si="11"/>
        <v>57558.345348000039</v>
      </c>
      <c r="L55" s="18">
        <f t="shared" si="11"/>
        <v>22120</v>
      </c>
      <c r="M55" s="18">
        <f t="shared" si="11"/>
        <v>4465.0893000000024</v>
      </c>
      <c r="N55" s="54">
        <f t="shared" si="11"/>
        <v>84143.434648000009</v>
      </c>
      <c r="O55" s="18">
        <f t="shared" si="11"/>
        <v>45745.274470000033</v>
      </c>
      <c r="P55" s="18">
        <f t="shared" si="11"/>
        <v>25700</v>
      </c>
      <c r="Q55" s="18">
        <f t="shared" si="11"/>
        <v>3400.0680000000007</v>
      </c>
      <c r="R55" s="17">
        <f t="shared" si="11"/>
        <v>74845.342469999989</v>
      </c>
      <c r="S55" s="57">
        <f t="shared" si="11"/>
        <v>40910.245459999984</v>
      </c>
      <c r="T55" s="57">
        <f t="shared" si="11"/>
        <v>25688</v>
      </c>
      <c r="U55" s="57">
        <f t="shared" si="11"/>
        <v>4537.0907399999978</v>
      </c>
      <c r="V55" s="57">
        <f>SUM(S55:U55)</f>
        <v>71135.336199999976</v>
      </c>
      <c r="W55" s="4"/>
      <c r="X55" s="4"/>
      <c r="Y55" s="4"/>
      <c r="Z55" s="4"/>
      <c r="AA55" s="17">
        <f>SUM(AA4:AA54)</f>
        <v>68160.306459999978</v>
      </c>
      <c r="AB55" s="4"/>
      <c r="AC55" s="7">
        <f t="shared" si="10"/>
        <v>9.8078138981419316E-2</v>
      </c>
    </row>
    <row r="56" spans="1:29" ht="15.95" thickTop="1" x14ac:dyDescent="0.2"/>
    <row r="58" spans="1:29" x14ac:dyDescent="0.2">
      <c r="P58" s="1"/>
    </row>
    <row r="60" spans="1:29" x14ac:dyDescent="0.2">
      <c r="A60" s="4"/>
      <c r="B60" s="44"/>
      <c r="C60" s="44"/>
    </row>
    <row r="61" spans="1:29" x14ac:dyDescent="0.2">
      <c r="A61" s="4"/>
      <c r="B61" s="8"/>
      <c r="C61" s="7"/>
    </row>
    <row r="62" spans="1:29" x14ac:dyDescent="0.2">
      <c r="A62" s="4"/>
      <c r="B62" s="8"/>
      <c r="C62" s="7"/>
    </row>
    <row r="63" spans="1:29" x14ac:dyDescent="0.2">
      <c r="A63" s="4"/>
      <c r="B63" s="8"/>
      <c r="C63" s="7"/>
    </row>
    <row r="64" spans="1:29" x14ac:dyDescent="0.2">
      <c r="A64" s="4"/>
      <c r="B64" s="8"/>
      <c r="C64" s="7"/>
    </row>
    <row r="65" spans="1:3" x14ac:dyDescent="0.2">
      <c r="A65" s="4"/>
      <c r="B65" s="8"/>
      <c r="C65" s="7"/>
    </row>
    <row r="66" spans="1:3" x14ac:dyDescent="0.2">
      <c r="A66" s="4"/>
      <c r="B66" s="8"/>
      <c r="C66" s="7"/>
    </row>
    <row r="67" spans="1:3" x14ac:dyDescent="0.2">
      <c r="A67" s="4"/>
      <c r="B67" s="8"/>
      <c r="C67" s="7"/>
    </row>
    <row r="68" spans="1:3" x14ac:dyDescent="0.2">
      <c r="A68" s="4"/>
      <c r="B68" s="8"/>
      <c r="C68" s="7"/>
    </row>
    <row r="69" spans="1:3" x14ac:dyDescent="0.2">
      <c r="A69" s="4"/>
      <c r="B69" s="8"/>
      <c r="C69" s="7"/>
    </row>
    <row r="70" spans="1:3" x14ac:dyDescent="0.2">
      <c r="A70" s="4"/>
      <c r="B70" s="8"/>
      <c r="C70" s="7"/>
    </row>
    <row r="71" spans="1:3" x14ac:dyDescent="0.2">
      <c r="A71" s="4"/>
      <c r="B71" s="8"/>
      <c r="C71" s="7"/>
    </row>
    <row r="72" spans="1:3" x14ac:dyDescent="0.2">
      <c r="A72" s="4"/>
      <c r="B72" s="8"/>
      <c r="C72" s="7"/>
    </row>
    <row r="73" spans="1:3" x14ac:dyDescent="0.2">
      <c r="A73" s="4"/>
      <c r="B73" s="8"/>
      <c r="C73" s="7"/>
    </row>
    <row r="74" spans="1:3" x14ac:dyDescent="0.2">
      <c r="A74" s="4"/>
      <c r="B74" s="8"/>
      <c r="C74" s="7"/>
    </row>
    <row r="75" spans="1:3" x14ac:dyDescent="0.2">
      <c r="A75" s="4"/>
      <c r="B75" s="8"/>
      <c r="C75" s="7"/>
    </row>
    <row r="76" spans="1:3" x14ac:dyDescent="0.2">
      <c r="A76" s="4"/>
      <c r="B76" s="8"/>
      <c r="C76" s="7"/>
    </row>
    <row r="77" spans="1:3" x14ac:dyDescent="0.2">
      <c r="A77" s="4"/>
      <c r="B77" s="8"/>
      <c r="C77" s="7"/>
    </row>
    <row r="78" spans="1:3" x14ac:dyDescent="0.2">
      <c r="A78" s="4"/>
      <c r="B78" s="8"/>
      <c r="C78" s="7"/>
    </row>
    <row r="79" spans="1:3" x14ac:dyDescent="0.2">
      <c r="A79" s="4"/>
      <c r="B79" s="8"/>
      <c r="C79" s="7"/>
    </row>
    <row r="80" spans="1:3" x14ac:dyDescent="0.2">
      <c r="A80" s="4"/>
      <c r="B80" s="8"/>
      <c r="C80" s="7"/>
    </row>
    <row r="81" spans="1:3" x14ac:dyDescent="0.2">
      <c r="A81" s="4"/>
      <c r="B81" s="8"/>
      <c r="C81" s="7"/>
    </row>
    <row r="82" spans="1:3" x14ac:dyDescent="0.2">
      <c r="A82" s="4"/>
      <c r="B82" s="8"/>
      <c r="C82" s="7"/>
    </row>
    <row r="83" spans="1:3" x14ac:dyDescent="0.25">
      <c r="A83" s="4"/>
      <c r="B83" s="8"/>
      <c r="C83" s="7"/>
    </row>
    <row r="84" spans="1:3" x14ac:dyDescent="0.25">
      <c r="A84" s="4"/>
      <c r="B84" s="8"/>
      <c r="C84" s="7"/>
    </row>
    <row r="85" spans="1:3" x14ac:dyDescent="0.25">
      <c r="A85" s="4"/>
      <c r="B85" s="8"/>
      <c r="C85" s="7"/>
    </row>
    <row r="86" spans="1:3" x14ac:dyDescent="0.25">
      <c r="A86" s="4"/>
      <c r="B86" s="8"/>
      <c r="C86" s="7"/>
    </row>
    <row r="87" spans="1:3" x14ac:dyDescent="0.25">
      <c r="A87" s="4"/>
      <c r="B87" s="8"/>
      <c r="C87" s="7"/>
    </row>
    <row r="88" spans="1:3" x14ac:dyDescent="0.25">
      <c r="A88" s="4"/>
      <c r="B88" s="8"/>
      <c r="C88" s="7"/>
    </row>
    <row r="89" spans="1:3" x14ac:dyDescent="0.25">
      <c r="A89" s="4"/>
      <c r="B89" s="8"/>
      <c r="C89" s="7"/>
    </row>
    <row r="90" spans="1:3" x14ac:dyDescent="0.25">
      <c r="A90" s="4"/>
      <c r="B90" s="8"/>
      <c r="C90" s="7"/>
    </row>
    <row r="91" spans="1:3" x14ac:dyDescent="0.25">
      <c r="A91" s="4"/>
      <c r="B91" s="8"/>
      <c r="C91" s="7"/>
    </row>
    <row r="92" spans="1:3" x14ac:dyDescent="0.25">
      <c r="A92" s="4"/>
      <c r="B92" s="8"/>
      <c r="C92" s="7"/>
    </row>
    <row r="93" spans="1:3" x14ac:dyDescent="0.25">
      <c r="A93" s="4"/>
      <c r="B93" s="8"/>
      <c r="C93" s="7"/>
    </row>
    <row r="94" spans="1:3" x14ac:dyDescent="0.25">
      <c r="A94" s="4"/>
      <c r="B94" s="8"/>
      <c r="C94" s="7"/>
    </row>
    <row r="95" spans="1:3" x14ac:dyDescent="0.25">
      <c r="A95" s="4"/>
      <c r="B95" s="8"/>
      <c r="C95" s="7"/>
    </row>
    <row r="96" spans="1:3" x14ac:dyDescent="0.25">
      <c r="A96" s="4"/>
      <c r="B96" s="8"/>
      <c r="C96" s="7"/>
    </row>
    <row r="97" spans="1:3" x14ac:dyDescent="0.25">
      <c r="A97" s="4"/>
      <c r="B97" s="8"/>
      <c r="C97" s="7"/>
    </row>
    <row r="98" spans="1:3" x14ac:dyDescent="0.25">
      <c r="A98" s="4"/>
      <c r="B98" s="8"/>
      <c r="C98" s="7"/>
    </row>
    <row r="99" spans="1:3" x14ac:dyDescent="0.25">
      <c r="A99" s="4"/>
      <c r="B99" s="8"/>
      <c r="C99" s="7"/>
    </row>
    <row r="100" spans="1:3" x14ac:dyDescent="0.25">
      <c r="A100" s="4"/>
      <c r="B100" s="8"/>
      <c r="C100" s="7"/>
    </row>
    <row r="101" spans="1:3" x14ac:dyDescent="0.25">
      <c r="A101" s="4"/>
      <c r="B101" s="8"/>
      <c r="C101" s="7"/>
    </row>
    <row r="102" spans="1:3" x14ac:dyDescent="0.25">
      <c r="A102" s="4"/>
      <c r="B102" s="8"/>
      <c r="C102" s="7"/>
    </row>
    <row r="103" spans="1:3" x14ac:dyDescent="0.25">
      <c r="A103" s="4"/>
      <c r="B103" s="8"/>
      <c r="C103" s="7"/>
    </row>
    <row r="104" spans="1:3" x14ac:dyDescent="0.25">
      <c r="A104" s="4"/>
      <c r="B104" s="8"/>
      <c r="C104" s="7"/>
    </row>
    <row r="105" spans="1:3" x14ac:dyDescent="0.25">
      <c r="A105" s="4"/>
      <c r="B105" s="8"/>
      <c r="C105" s="7"/>
    </row>
    <row r="106" spans="1:3" x14ac:dyDescent="0.25">
      <c r="A106" s="4"/>
      <c r="B106" s="8"/>
      <c r="C106" s="7"/>
    </row>
    <row r="107" spans="1:3" x14ac:dyDescent="0.25">
      <c r="A107" s="4"/>
      <c r="B107" s="8"/>
      <c r="C107" s="7"/>
    </row>
    <row r="108" spans="1:3" x14ac:dyDescent="0.25">
      <c r="A108" s="4"/>
      <c r="B108" s="8"/>
      <c r="C108" s="7"/>
    </row>
    <row r="109" spans="1:3" x14ac:dyDescent="0.25">
      <c r="A109" s="4"/>
      <c r="B109" s="8"/>
      <c r="C109" s="7"/>
    </row>
    <row r="110" spans="1:3" x14ac:dyDescent="0.25">
      <c r="A110" s="4"/>
      <c r="B110" s="8"/>
      <c r="C110" s="7"/>
    </row>
  </sheetData>
  <mergeCells count="5">
    <mergeCell ref="X2:Y2"/>
    <mergeCell ref="K2:N2"/>
    <mergeCell ref="O2:R2"/>
    <mergeCell ref="S2:V2"/>
    <mergeCell ref="G1:J2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3:Q47"/>
  <sheetViews>
    <sheetView workbookViewId="0">
      <selection activeCell="A6" sqref="A6"/>
    </sheetView>
  </sheetViews>
  <sheetFormatPr defaultColWidth="8.85546875" defaultRowHeight="15" x14ac:dyDescent="0.25"/>
  <cols>
    <col min="1" max="1" width="16.28515625" bestFit="1" customWidth="1"/>
    <col min="8" max="8" width="9.140625" bestFit="1" customWidth="1"/>
  </cols>
  <sheetData>
    <row r="3" spans="1:9" x14ac:dyDescent="0.2">
      <c r="B3">
        <v>2010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</row>
    <row r="4" spans="1:9" x14ac:dyDescent="0.2">
      <c r="A4" t="s">
        <v>48</v>
      </c>
      <c r="B4" s="2">
        <v>46640</v>
      </c>
      <c r="C4" s="2">
        <v>53916</v>
      </c>
      <c r="D4" s="2">
        <f>'Comparisons 2012-2016'!I39</f>
        <v>63780</v>
      </c>
      <c r="E4" s="2">
        <f>'Comparisons 2012-2016'!H39-'Comparisons 2012-2016'!H36-'Comparisons 2012-2016'!H29</f>
        <v>68160</v>
      </c>
      <c r="F4" s="2">
        <f>'Comparisons 2012-2016'!G39</f>
        <v>74845</v>
      </c>
      <c r="G4" s="2">
        <v>84143</v>
      </c>
      <c r="H4" s="2">
        <f>'2016 Budget Draft'!D39</f>
        <v>85478</v>
      </c>
    </row>
    <row r="5" spans="1:9" x14ac:dyDescent="0.2">
      <c r="A5" t="s">
        <v>97</v>
      </c>
      <c r="C5" s="1">
        <f>(C4-B4)/B4</f>
        <v>0.15600343053173241</v>
      </c>
      <c r="D5" s="1">
        <f t="shared" ref="D5:H5" si="0">(D4-C4)/C4</f>
        <v>0.18295125751168484</v>
      </c>
      <c r="E5" s="1">
        <f t="shared" si="0"/>
        <v>6.8673565380997184E-2</v>
      </c>
      <c r="F5" s="1">
        <f t="shared" si="0"/>
        <v>9.8078051643192485E-2</v>
      </c>
      <c r="G5" s="1">
        <f t="shared" si="0"/>
        <v>0.12423007548934464</v>
      </c>
      <c r="H5" s="1">
        <f t="shared" si="0"/>
        <v>1.5865847426405049E-2</v>
      </c>
      <c r="I5" s="1"/>
    </row>
    <row r="6" spans="1:9" x14ac:dyDescent="0.2">
      <c r="E6" s="2"/>
      <c r="F6" s="2"/>
      <c r="G6" s="2"/>
    </row>
    <row r="43" spans="17:17" x14ac:dyDescent="0.25">
      <c r="Q43" s="1"/>
    </row>
    <row r="47" spans="17:17" x14ac:dyDescent="0.25">
      <c r="Q47" s="1"/>
    </row>
  </sheetData>
  <pageMargins left="0.7" right="0.7" top="0.75" bottom="0.75" header="0.3" footer="0.3"/>
  <pageSetup paperSize="9" scale="9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29"/>
  <sheetViews>
    <sheetView workbookViewId="0">
      <selection activeCell="B6" sqref="B6"/>
    </sheetView>
  </sheetViews>
  <sheetFormatPr defaultColWidth="8.85546875" defaultRowHeight="15" x14ac:dyDescent="0.25"/>
  <cols>
    <col min="1" max="1" width="10.42578125" customWidth="1"/>
    <col min="2" max="2" width="34.140625" bestFit="1" customWidth="1"/>
    <col min="3" max="3" width="5.28515625" customWidth="1"/>
    <col min="4" max="4" width="9.7109375" bestFit="1" customWidth="1"/>
    <col min="5" max="5" width="14" customWidth="1"/>
    <col min="6" max="6" width="18.7109375" customWidth="1"/>
    <col min="7" max="7" width="3.140625" customWidth="1"/>
    <col min="8" max="8" width="10.42578125" customWidth="1"/>
    <col min="9" max="9" width="13.140625" bestFit="1" customWidth="1"/>
    <col min="10" max="10" width="23.42578125" bestFit="1" customWidth="1"/>
    <col min="11" max="11" width="3.140625" customWidth="1"/>
    <col min="12" max="12" width="10.42578125" customWidth="1"/>
    <col min="14" max="14" width="9.140625" bestFit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x14ac:dyDescent="0.2">
      <c r="B2" s="10" t="s">
        <v>88</v>
      </c>
      <c r="C2" s="11"/>
      <c r="D2" s="11"/>
      <c r="E2" s="11"/>
      <c r="F2" s="11"/>
      <c r="G2" s="4"/>
      <c r="H2" s="4"/>
      <c r="I2" s="4"/>
      <c r="J2" s="4"/>
      <c r="K2" s="4"/>
      <c r="L2" s="4"/>
    </row>
    <row r="3" spans="1:14" x14ac:dyDescent="0.2">
      <c r="B3" s="123" t="s">
        <v>98</v>
      </c>
      <c r="C3" s="11"/>
      <c r="D3" s="11"/>
      <c r="E3" s="11"/>
      <c r="F3" s="11"/>
      <c r="G3" s="11"/>
      <c r="H3" s="11"/>
      <c r="I3" s="11"/>
      <c r="J3" s="11"/>
      <c r="K3" s="11"/>
    </row>
    <row r="4" spans="1:14" x14ac:dyDescent="0.2">
      <c r="B4" s="11" t="s">
        <v>89</v>
      </c>
      <c r="C4" s="11" t="s">
        <v>4</v>
      </c>
      <c r="D4" s="11" t="s">
        <v>5</v>
      </c>
      <c r="E4" s="11" t="s">
        <v>6</v>
      </c>
      <c r="F4" s="11" t="s">
        <v>7</v>
      </c>
    </row>
    <row r="5" spans="1:14" x14ac:dyDescent="0.2">
      <c r="B5" s="129">
        <v>1</v>
      </c>
      <c r="C5" s="11">
        <f ca="1">INDIRECT("'Apportioned by Appt'!C"&amp;(3+B5))</f>
        <v>85</v>
      </c>
      <c r="D5" s="11">
        <f ca="1">INDIRECT("'Apportioned by Appt'!D"&amp;(3+B5))</f>
        <v>2.1497000000000002</v>
      </c>
      <c r="E5" s="11">
        <f ca="1">INDIRECT("'Apportioned by Appt'!E"&amp;(3+B5))</f>
        <v>2.9792999999999998</v>
      </c>
      <c r="F5" s="11">
        <f ca="1">INDIRECT("'Apportioned by Appt'!F"&amp;(3+B5))</f>
        <v>2.8572000000000002</v>
      </c>
    </row>
    <row r="7" spans="1:14" x14ac:dyDescent="0.2">
      <c r="A7" s="10" t="s">
        <v>91</v>
      </c>
    </row>
    <row r="8" spans="1:14" ht="27.95" x14ac:dyDescent="0.2">
      <c r="A8" s="13" t="s">
        <v>92</v>
      </c>
      <c r="B8" s="13" t="s">
        <v>38</v>
      </c>
      <c r="C8" s="13"/>
      <c r="D8" s="147" t="s">
        <v>95</v>
      </c>
      <c r="E8" s="13" t="s">
        <v>93</v>
      </c>
      <c r="F8" s="13" t="s">
        <v>37</v>
      </c>
      <c r="G8" s="13"/>
      <c r="H8" s="132" t="s">
        <v>95</v>
      </c>
      <c r="I8" s="13" t="s">
        <v>94</v>
      </c>
      <c r="J8" s="13" t="s">
        <v>41</v>
      </c>
      <c r="K8" s="13"/>
      <c r="L8" s="132" t="s">
        <v>95</v>
      </c>
      <c r="N8" s="38" t="s">
        <v>52</v>
      </c>
    </row>
    <row r="9" spans="1:14" x14ac:dyDescent="0.2">
      <c r="A9" s="137">
        <f>'2016 Budget Draft'!B3</f>
        <v>100</v>
      </c>
      <c r="B9" s="4" t="s">
        <v>82</v>
      </c>
      <c r="C9" s="13"/>
      <c r="D9" s="135">
        <f t="shared" ref="D9:D23" ca="1" si="0">$D$5*A9/100</f>
        <v>2.1497000000000002</v>
      </c>
      <c r="E9" s="140"/>
      <c r="F9" s="13"/>
      <c r="G9" s="13"/>
      <c r="H9" s="13"/>
      <c r="I9" s="13"/>
      <c r="J9" s="13"/>
      <c r="K9" s="13"/>
      <c r="L9" s="11"/>
    </row>
    <row r="10" spans="1:14" x14ac:dyDescent="0.2">
      <c r="A10" s="137">
        <f>'2016 Budget Draft'!D4</f>
        <v>13000</v>
      </c>
      <c r="B10" s="11" t="s">
        <v>18</v>
      </c>
      <c r="C10" s="11"/>
      <c r="D10" s="135">
        <f t="shared" ca="1" si="0"/>
        <v>279.46100000000001</v>
      </c>
      <c r="E10" s="141">
        <f>'2016 Budget Draft'!D21</f>
        <v>3500</v>
      </c>
      <c r="F10" s="22" t="s">
        <v>31</v>
      </c>
      <c r="G10" s="11"/>
      <c r="H10" s="135">
        <f t="shared" ref="H10:H18" ca="1" si="1">$E$5*E10/100</f>
        <v>104.27549999999999</v>
      </c>
      <c r="I10" s="141">
        <f>'2016 Budget Draft'!D33</f>
        <v>1560</v>
      </c>
      <c r="J10" s="11" t="s">
        <v>39</v>
      </c>
      <c r="K10" s="11"/>
      <c r="L10" s="12">
        <f ca="1">$F$5*I10/100</f>
        <v>44.572319999999998</v>
      </c>
    </row>
    <row r="11" spans="1:14" x14ac:dyDescent="0.2">
      <c r="A11" s="137">
        <f>'2016 Budget Draft'!D5</f>
        <v>1000</v>
      </c>
      <c r="B11" s="11" t="s">
        <v>19</v>
      </c>
      <c r="C11" s="11"/>
      <c r="D11" s="135">
        <f t="shared" ca="1" si="0"/>
        <v>21.497000000000003</v>
      </c>
      <c r="E11" s="141">
        <f>'2016 Budget Draft'!D22</f>
        <v>3100</v>
      </c>
      <c r="F11" s="22" t="s">
        <v>32</v>
      </c>
      <c r="G11" s="11"/>
      <c r="H11" s="135">
        <f t="shared" ca="1" si="1"/>
        <v>92.3583</v>
      </c>
      <c r="I11" s="141">
        <f>'2016 Budget Draft'!D34</f>
        <v>2200</v>
      </c>
      <c r="J11" s="11" t="s">
        <v>40</v>
      </c>
      <c r="K11" s="11"/>
      <c r="L11" s="12">
        <f ca="1">$F$5*I11/100</f>
        <v>62.858400000000003</v>
      </c>
    </row>
    <row r="12" spans="1:14" x14ac:dyDescent="0.2">
      <c r="A12" s="137">
        <f>'2016 Budget Draft'!D6</f>
        <v>3100</v>
      </c>
      <c r="B12" s="11" t="s">
        <v>20</v>
      </c>
      <c r="C12" s="11"/>
      <c r="D12" s="135">
        <f t="shared" ca="1" si="0"/>
        <v>66.64070000000001</v>
      </c>
      <c r="E12" s="141">
        <f>'2016 Budget Draft'!D23</f>
        <v>500</v>
      </c>
      <c r="F12" s="22" t="s">
        <v>56</v>
      </c>
      <c r="G12" s="11"/>
      <c r="H12" s="135">
        <f t="shared" ca="1" si="1"/>
        <v>14.896499999999998</v>
      </c>
      <c r="I12" s="141">
        <f>'2016 Budget Draft'!D35</f>
        <v>630</v>
      </c>
      <c r="J12" s="11" t="s">
        <v>28</v>
      </c>
      <c r="K12" s="11"/>
      <c r="L12" s="12">
        <f ca="1">$F$5*I12/100</f>
        <v>18.000360000000001</v>
      </c>
    </row>
    <row r="13" spans="1:14" x14ac:dyDescent="0.2">
      <c r="A13" s="137">
        <f>'2016 Budget Draft'!D7</f>
        <v>6678</v>
      </c>
      <c r="B13" s="11" t="s">
        <v>21</v>
      </c>
      <c r="C13" s="11"/>
      <c r="D13" s="135">
        <f t="shared" ca="1" si="0"/>
        <v>143.55696600000002</v>
      </c>
      <c r="E13" s="141">
        <f>'2016 Budget Draft'!D24</f>
        <v>0</v>
      </c>
      <c r="F13" s="22" t="s">
        <v>33</v>
      </c>
      <c r="G13" s="11"/>
      <c r="H13" s="135">
        <f t="shared" ca="1" si="1"/>
        <v>0</v>
      </c>
      <c r="I13" s="141">
        <f>'2016 Budget Draft'!D36</f>
        <v>0</v>
      </c>
      <c r="J13" s="11" t="s">
        <v>36</v>
      </c>
      <c r="K13" s="11"/>
      <c r="L13" s="12">
        <f ca="1">$F$5*I13/100</f>
        <v>0</v>
      </c>
    </row>
    <row r="14" spans="1:14" x14ac:dyDescent="0.2">
      <c r="A14" s="137">
        <f>'2016 Budget Draft'!D8</f>
        <v>3000</v>
      </c>
      <c r="B14" s="11" t="s">
        <v>22</v>
      </c>
      <c r="C14" s="11"/>
      <c r="D14" s="135">
        <f t="shared" ca="1" si="0"/>
        <v>64.491</v>
      </c>
      <c r="E14" s="141">
        <f>'2016 Budget Draft'!D25</f>
        <v>5500</v>
      </c>
      <c r="F14" s="22" t="s">
        <v>34</v>
      </c>
      <c r="G14" s="11"/>
      <c r="H14" s="135">
        <f t="shared" ca="1" si="1"/>
        <v>163.86149999999998</v>
      </c>
      <c r="I14" s="142"/>
      <c r="J14" s="11"/>
      <c r="K14" s="11"/>
      <c r="L14" s="12"/>
    </row>
    <row r="15" spans="1:14" x14ac:dyDescent="0.2">
      <c r="A15" s="137">
        <f>'2016 Budget Draft'!D9</f>
        <v>15500</v>
      </c>
      <c r="B15" s="11" t="s">
        <v>23</v>
      </c>
      <c r="C15" s="11"/>
      <c r="D15" s="135">
        <f t="shared" ca="1" si="0"/>
        <v>333.20350000000008</v>
      </c>
      <c r="E15" s="141">
        <f>'2016 Budget Draft'!D26</f>
        <v>2750</v>
      </c>
      <c r="F15" s="22" t="s">
        <v>30</v>
      </c>
      <c r="G15" s="11"/>
      <c r="H15" s="135">
        <f t="shared" ca="1" si="1"/>
        <v>81.930749999999989</v>
      </c>
      <c r="I15" s="142"/>
      <c r="J15" s="11"/>
      <c r="K15" s="11"/>
      <c r="L15" s="12"/>
    </row>
    <row r="16" spans="1:14" x14ac:dyDescent="0.2">
      <c r="A16" s="137">
        <f>'2016 Budget Draft'!D10</f>
        <v>430</v>
      </c>
      <c r="B16" s="11" t="s">
        <v>24</v>
      </c>
      <c r="C16" s="11"/>
      <c r="D16" s="135">
        <f t="shared" ca="1" si="0"/>
        <v>9.2437100000000001</v>
      </c>
      <c r="E16" s="141">
        <f>'2016 Budget Draft'!D27</f>
        <v>2000</v>
      </c>
      <c r="F16" s="22" t="s">
        <v>35</v>
      </c>
      <c r="G16" s="11"/>
      <c r="H16" s="135">
        <f t="shared" ca="1" si="1"/>
        <v>59.585999999999991</v>
      </c>
      <c r="I16" s="142"/>
      <c r="J16" s="11"/>
      <c r="K16" s="11"/>
      <c r="L16" s="12"/>
    </row>
    <row r="17" spans="1:14" x14ac:dyDescent="0.2">
      <c r="A17" s="137">
        <f>'2016 Budget Draft'!D11</f>
        <v>630</v>
      </c>
      <c r="B17" s="11" t="s">
        <v>25</v>
      </c>
      <c r="C17" s="11"/>
      <c r="D17" s="135">
        <f t="shared" ca="1" si="0"/>
        <v>13.543110000000002</v>
      </c>
      <c r="E17" s="141">
        <f>'2016 Budget Draft'!D28</f>
        <v>7350</v>
      </c>
      <c r="F17" s="22" t="s">
        <v>28</v>
      </c>
      <c r="G17" s="11"/>
      <c r="H17" s="135">
        <f t="shared" ca="1" si="1"/>
        <v>218.97854999999998</v>
      </c>
      <c r="I17" s="142"/>
      <c r="J17" s="11"/>
      <c r="K17" s="11"/>
      <c r="L17" s="12"/>
    </row>
    <row r="18" spans="1:14" x14ac:dyDescent="0.2">
      <c r="A18" s="137">
        <f>'2016 Budget Draft'!D12</f>
        <v>0</v>
      </c>
      <c r="B18" s="11" t="s">
        <v>26</v>
      </c>
      <c r="C18" s="11"/>
      <c r="D18" s="135">
        <f t="shared" ca="1" si="0"/>
        <v>0</v>
      </c>
      <c r="E18" s="141">
        <f>'2016 Budget Draft'!D29</f>
        <v>0</v>
      </c>
      <c r="F18" s="22" t="s">
        <v>36</v>
      </c>
      <c r="G18" s="11"/>
      <c r="H18" s="135">
        <f t="shared" ca="1" si="1"/>
        <v>0</v>
      </c>
      <c r="I18" s="142"/>
      <c r="J18" s="11"/>
      <c r="K18" s="11"/>
      <c r="L18" s="12"/>
    </row>
    <row r="19" spans="1:14" x14ac:dyDescent="0.2">
      <c r="A19" s="137">
        <f>'2016 Budget Draft'!D13</f>
        <v>1500</v>
      </c>
      <c r="B19" s="11" t="s">
        <v>27</v>
      </c>
      <c r="C19" s="11"/>
      <c r="D19" s="135">
        <f t="shared" ca="1" si="0"/>
        <v>32.2455</v>
      </c>
      <c r="E19" s="141"/>
      <c r="F19" s="11"/>
      <c r="G19" s="11"/>
      <c r="H19" s="12"/>
      <c r="I19" s="142"/>
      <c r="J19" s="11"/>
      <c r="K19" s="11"/>
      <c r="L19" s="12"/>
    </row>
    <row r="20" spans="1:14" x14ac:dyDescent="0.2">
      <c r="A20" s="137">
        <f>'2016 Budget Draft'!D14</f>
        <v>4200</v>
      </c>
      <c r="B20" s="11" t="s">
        <v>28</v>
      </c>
      <c r="C20" s="11"/>
      <c r="D20" s="135">
        <f t="shared" ca="1" si="0"/>
        <v>90.287400000000019</v>
      </c>
      <c r="E20" s="141"/>
      <c r="F20" s="11"/>
      <c r="G20" s="11"/>
      <c r="H20" s="12"/>
      <c r="I20" s="142"/>
      <c r="J20" s="11"/>
      <c r="K20" s="11"/>
      <c r="L20" s="12"/>
    </row>
    <row r="21" spans="1:14" x14ac:dyDescent="0.2">
      <c r="A21" s="137">
        <f>'2016 Budget Draft'!D15</f>
        <v>500</v>
      </c>
      <c r="B21" s="11" t="s">
        <v>29</v>
      </c>
      <c r="C21" s="11"/>
      <c r="D21" s="135">
        <f t="shared" ca="1" si="0"/>
        <v>10.748500000000002</v>
      </c>
      <c r="E21" s="141"/>
      <c r="F21" s="11"/>
      <c r="G21" s="11"/>
      <c r="H21" s="12"/>
      <c r="I21" s="142"/>
      <c r="J21" s="11"/>
      <c r="K21" s="11"/>
      <c r="L21" s="12"/>
    </row>
    <row r="22" spans="1:14" x14ac:dyDescent="0.2">
      <c r="A22" s="137">
        <f>'2016 Budget Draft'!D16</f>
        <v>6750</v>
      </c>
      <c r="B22" s="11" t="s">
        <v>30</v>
      </c>
      <c r="C22" s="11"/>
      <c r="D22" s="135">
        <f t="shared" ca="1" si="0"/>
        <v>145.10475</v>
      </c>
      <c r="E22" s="141"/>
      <c r="F22" s="11"/>
      <c r="G22" s="11"/>
      <c r="H22" s="12"/>
      <c r="I22" s="142"/>
      <c r="J22" s="11"/>
      <c r="K22" s="11"/>
      <c r="L22" s="12"/>
    </row>
    <row r="23" spans="1:14" x14ac:dyDescent="0.2">
      <c r="A23" s="138">
        <f>'2016 Budget Draft'!D17</f>
        <v>0</v>
      </c>
      <c r="B23" s="11" t="s">
        <v>60</v>
      </c>
      <c r="C23" s="11"/>
      <c r="D23" s="135">
        <f t="shared" ca="1" si="0"/>
        <v>0</v>
      </c>
      <c r="E23" s="142"/>
      <c r="F23" s="11"/>
      <c r="G23" s="11"/>
      <c r="H23" s="12"/>
      <c r="I23" s="142"/>
      <c r="J23" s="11"/>
      <c r="K23" s="11"/>
      <c r="L23" s="12"/>
    </row>
    <row r="24" spans="1:14" ht="15.95" thickBot="1" x14ac:dyDescent="0.25">
      <c r="A24" s="139">
        <f>SUM(A9:A22)</f>
        <v>56388</v>
      </c>
      <c r="B24" s="127"/>
      <c r="C24" s="127"/>
      <c r="D24" s="128"/>
      <c r="E24" s="143">
        <f>SUM(E10:E23)</f>
        <v>24700</v>
      </c>
      <c r="F24" s="127"/>
      <c r="G24" s="127"/>
      <c r="H24" s="128"/>
      <c r="I24" s="143">
        <f>SUM(I10:I23)</f>
        <v>4390</v>
      </c>
      <c r="J24" s="127"/>
      <c r="K24" s="127"/>
      <c r="L24" s="134"/>
      <c r="M24" s="133"/>
      <c r="N24" s="144">
        <f>SUM(A24:J24)</f>
        <v>85478</v>
      </c>
    </row>
    <row r="25" spans="1:14" ht="15.95" thickTop="1" x14ac:dyDescent="0.2">
      <c r="N25" s="145"/>
    </row>
    <row r="26" spans="1:14" ht="15.95" thickBot="1" x14ac:dyDescent="0.25">
      <c r="A26" s="130"/>
      <c r="B26" s="130"/>
      <c r="C26" s="130"/>
      <c r="D26" s="131">
        <f ca="1">SUM(D9:D25)</f>
        <v>1212.172836</v>
      </c>
      <c r="E26" s="130"/>
      <c r="F26" s="130"/>
      <c r="G26" s="130"/>
      <c r="H26" s="131">
        <f ca="1">SUM(H10:H25)</f>
        <v>735.88709999999992</v>
      </c>
      <c r="I26" s="130"/>
      <c r="J26" s="130"/>
      <c r="K26" s="130"/>
      <c r="L26" s="131">
        <f ca="1">SUM(L10:L23)</f>
        <v>125.43108000000001</v>
      </c>
      <c r="M26" s="130"/>
      <c r="N26" s="131">
        <f ca="1">SUM(D26:L26)</f>
        <v>2073.4910159999999</v>
      </c>
    </row>
    <row r="28" spans="1:14" x14ac:dyDescent="0.25">
      <c r="D28" s="40"/>
      <c r="E28" s="136" t="s">
        <v>96</v>
      </c>
    </row>
    <row r="29" spans="1:14" x14ac:dyDescent="0.2">
      <c r="F29" t="s">
        <v>53</v>
      </c>
    </row>
  </sheetData>
  <sheetProtection sheet="1" objects="1" scenarios="1"/>
  <protectedRanges>
    <protectedRange sqref="B5" name="Range1"/>
  </protectedRanges>
  <conditionalFormatting sqref="D9:D23">
    <cfRule type="cellIs" dxfId="5" priority="6" operator="greaterThan">
      <formula>90</formula>
    </cfRule>
  </conditionalFormatting>
  <conditionalFormatting sqref="D9:D23">
    <cfRule type="cellIs" dxfId="4" priority="5" operator="greaterThan">
      <formula>89</formula>
    </cfRule>
  </conditionalFormatting>
  <conditionalFormatting sqref="H9">
    <cfRule type="cellIs" dxfId="3" priority="4" operator="greaterThan">
      <formula>89</formula>
    </cfRule>
  </conditionalFormatting>
  <conditionalFormatting sqref="H10:H18">
    <cfRule type="cellIs" dxfId="2" priority="3" operator="greaterThan">
      <formula>89</formula>
    </cfRule>
  </conditionalFormatting>
  <conditionalFormatting sqref="L10:L13">
    <cfRule type="cellIs" dxfId="1" priority="2" operator="greaterThan">
      <formula>89</formula>
    </cfRule>
  </conditionalFormatting>
  <conditionalFormatting sqref="D28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Budget Draft</vt:lpstr>
      <vt:lpstr>Comparisons 2012-2016</vt:lpstr>
      <vt:lpstr>Apportioned by Appt</vt:lpstr>
      <vt:lpstr>Graphs</vt:lpstr>
      <vt:lpstr>plot x App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Alan_Eva</dc:creator>
  <cp:lastModifiedBy>Alan_Eva</cp:lastModifiedBy>
  <cp:lastPrinted>2015-12-09T22:24:39Z</cp:lastPrinted>
  <dcterms:created xsi:type="dcterms:W3CDTF">2012-12-14T13:54:45Z</dcterms:created>
  <dcterms:modified xsi:type="dcterms:W3CDTF">2015-12-09T22:28:45Z</dcterms:modified>
</cp:coreProperties>
</file>